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yeHyunPark\Dropbox\Energy Innovation\InputData_Working\개인폴더-계현\trans\BAADTbVT\조정\"/>
    </mc:Choice>
  </mc:AlternateContent>
  <xr:revisionPtr revIDLastSave="0" documentId="13_ncr:1_{954204ED-ADB3-4F6E-AEF2-BA59233BA015}" xr6:coauthVersionLast="36" xr6:coauthVersionMax="47" xr10:uidLastSave="{00000000-0000-0000-0000-000000000000}"/>
  <bookViews>
    <workbookView xWindow="1530" yWindow="1560" windowWidth="28800" windowHeight="15465" xr2:uid="{00000000-000D-0000-FFFF-FFFF00000000}"/>
  </bookViews>
  <sheets>
    <sheet name="About" sheetId="1" r:id="rId1"/>
    <sheet name="SYVbT_passenger" sheetId="41" r:id="rId2"/>
    <sheet name="SYVbT_freight" sheetId="42" r:id="rId3"/>
    <sheet name="SYVbT_DV-Regis" sheetId="35" r:id="rId4"/>
    <sheet name="DV-km" sheetId="37" r:id="rId5"/>
    <sheet name="DV-Cal" sheetId="39" r:id="rId6"/>
    <sheet name="SYVbT_Rail" sheetId="45" r:id="rId7"/>
    <sheet name="Rail-domestic psgr traffic" sheetId="71" r:id="rId8"/>
    <sheet name="Rail-CAGR" sheetId="69" r:id="rId9"/>
    <sheet name="Rail-subway" sheetId="70" r:id="rId10"/>
    <sheet name="Rail-Cal" sheetId="44" r:id="rId11"/>
    <sheet name="SYVbT_Aircraft" sheetId="52" r:id="rId12"/>
    <sheet name="Air09" sheetId="54" r:id="rId13"/>
    <sheet name="Air10" sheetId="55" r:id="rId14"/>
    <sheet name="Air11" sheetId="56" r:id="rId15"/>
    <sheet name="Air12" sheetId="57" r:id="rId16"/>
    <sheet name="Air13" sheetId="58" r:id="rId17"/>
    <sheet name="Air14" sheetId="59" r:id="rId18"/>
    <sheet name="Air15" sheetId="60" r:id="rId19"/>
    <sheet name="Air16" sheetId="61" r:id="rId20"/>
    <sheet name="Air17" sheetId="62" r:id="rId21"/>
    <sheet name="Air18" sheetId="63" r:id="rId22"/>
    <sheet name="Air19" sheetId="64" r:id="rId23"/>
    <sheet name="Air20" sheetId="65" r:id="rId24"/>
    <sheet name="Air21" sheetId="66" r:id="rId25"/>
    <sheet name="Air-psgr19" sheetId="67" r:id="rId26"/>
    <sheet name="Air-freight19" sheetId="68" r:id="rId27"/>
    <sheet name="Air-Cal" sheetId="50" r:id="rId28"/>
    <sheet name="Motorbikes" sheetId="53" r:id="rId29"/>
    <sheet name="Ships-Cal" sheetId="49" r:id="rId30"/>
    <sheet name="BAADTbVT-passengers" sheetId="6" r:id="rId31"/>
    <sheet name="BAADTbVT-freight" sheetId="12" r:id="rId32"/>
    <sheet name="AVLo-passenger" sheetId="46" r:id="rId33"/>
  </sheets>
  <externalReferences>
    <externalReference r:id="rId34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</workbook>
</file>

<file path=xl/calcChain.xml><?xml version="1.0" encoding="utf-8"?>
<calcChain xmlns="http://schemas.openxmlformats.org/spreadsheetml/2006/main">
  <c r="G4" i="44" l="1"/>
  <c r="E73" i="49" l="1"/>
  <c r="D73" i="49" l="1"/>
  <c r="C73" i="49"/>
  <c r="E46" i="70" l="1"/>
  <c r="C26" i="70"/>
  <c r="E7" i="53" l="1"/>
  <c r="C7" i="6" s="1"/>
  <c r="B7" i="6" s="1"/>
  <c r="E2" i="53"/>
  <c r="B7" i="12" s="1"/>
  <c r="B7" i="44" l="1"/>
  <c r="A7" i="44"/>
  <c r="D6" i="69"/>
  <c r="K5" i="69"/>
  <c r="D4" i="69"/>
  <c r="E4" i="69"/>
  <c r="F4" i="69"/>
  <c r="G4" i="69"/>
  <c r="H4" i="69"/>
  <c r="I4" i="69"/>
  <c r="J4" i="69"/>
  <c r="D3" i="69"/>
  <c r="E3" i="69"/>
  <c r="F3" i="69"/>
  <c r="G3" i="69"/>
  <c r="H3" i="69"/>
  <c r="I3" i="69"/>
  <c r="J3" i="69"/>
  <c r="C3" i="69"/>
  <c r="C4" i="69"/>
  <c r="K6" i="69"/>
  <c r="K4" i="69" l="1"/>
  <c r="K3" i="69"/>
  <c r="C15" i="44" l="1"/>
  <c r="B4" i="44"/>
  <c r="A4" i="44"/>
  <c r="H5" i="70"/>
  <c r="I5" i="70"/>
  <c r="H6" i="70"/>
  <c r="I6" i="70"/>
  <c r="H7" i="70"/>
  <c r="I7" i="70"/>
  <c r="H8" i="70"/>
  <c r="I8" i="70"/>
  <c r="H9" i="70"/>
  <c r="I9" i="70"/>
  <c r="H10" i="70"/>
  <c r="I10" i="70"/>
  <c r="H11" i="70"/>
  <c r="I11" i="70"/>
  <c r="H12" i="70"/>
  <c r="I12" i="70"/>
  <c r="H13" i="70"/>
  <c r="I13" i="70"/>
  <c r="H14" i="70"/>
  <c r="I14" i="70"/>
  <c r="H15" i="70"/>
  <c r="I15" i="70"/>
  <c r="H16" i="70"/>
  <c r="I16" i="70"/>
  <c r="B11" i="44" s="1"/>
  <c r="I4" i="70"/>
  <c r="H4" i="70"/>
  <c r="C5" i="70"/>
  <c r="D5" i="70"/>
  <c r="C6" i="70"/>
  <c r="D6" i="70"/>
  <c r="C7" i="70"/>
  <c r="D7" i="70"/>
  <c r="C8" i="70"/>
  <c r="D8" i="70"/>
  <c r="C9" i="70"/>
  <c r="D9" i="70"/>
  <c r="C10" i="70"/>
  <c r="D10" i="70"/>
  <c r="C11" i="70"/>
  <c r="D11" i="70"/>
  <c r="C12" i="70"/>
  <c r="D12" i="70"/>
  <c r="C13" i="70"/>
  <c r="D13" i="70"/>
  <c r="C14" i="70"/>
  <c r="D14" i="70"/>
  <c r="C15" i="70"/>
  <c r="D15" i="70"/>
  <c r="C16" i="70"/>
  <c r="D16" i="70"/>
  <c r="A11" i="44" s="1"/>
  <c r="D4" i="70"/>
  <c r="C4" i="70"/>
  <c r="H45" i="70"/>
  <c r="D45" i="70"/>
  <c r="H44" i="70"/>
  <c r="I44" i="70" s="1"/>
  <c r="D44" i="70"/>
  <c r="H43" i="70"/>
  <c r="I43" i="70" s="1"/>
  <c r="D43" i="70"/>
  <c r="H42" i="70"/>
  <c r="I42" i="70" s="1"/>
  <c r="D42" i="70"/>
  <c r="F41" i="70"/>
  <c r="H41" i="70" s="1"/>
  <c r="D41" i="70"/>
  <c r="F40" i="70"/>
  <c r="H40" i="70" s="1"/>
  <c r="I40" i="70" s="1"/>
  <c r="D40" i="70"/>
  <c r="F39" i="70"/>
  <c r="H39" i="70" s="1"/>
  <c r="I39" i="70"/>
  <c r="D39" i="70"/>
  <c r="H38" i="70"/>
  <c r="F38" i="70"/>
  <c r="D38" i="70"/>
  <c r="H37" i="70"/>
  <c r="D37" i="70"/>
  <c r="H36" i="70"/>
  <c r="I36" i="70"/>
  <c r="D36" i="70"/>
  <c r="H35" i="70"/>
  <c r="I35" i="70" s="1"/>
  <c r="D35" i="70"/>
  <c r="H34" i="70"/>
  <c r="I34" i="70" s="1"/>
  <c r="D34" i="70"/>
  <c r="H33" i="70"/>
  <c r="I33" i="70" s="1"/>
  <c r="D33" i="70"/>
  <c r="H32" i="70"/>
  <c r="I32" i="70"/>
  <c r="D32" i="70"/>
  <c r="H31" i="70"/>
  <c r="D31" i="70"/>
  <c r="H30" i="70"/>
  <c r="I30" i="70"/>
  <c r="D30" i="70"/>
  <c r="H29" i="70"/>
  <c r="I29" i="70" s="1"/>
  <c r="D29" i="70"/>
  <c r="H28" i="70"/>
  <c r="I28" i="70" s="1"/>
  <c r="D28" i="70"/>
  <c r="H27" i="70"/>
  <c r="I27" i="70" s="1"/>
  <c r="D27" i="70"/>
  <c r="H26" i="70"/>
  <c r="I26" i="70" s="1"/>
  <c r="D26" i="70"/>
  <c r="H25" i="70"/>
  <c r="I25" i="70" s="1"/>
  <c r="D25" i="70"/>
  <c r="H24" i="70"/>
  <c r="I24" i="70" s="1"/>
  <c r="D24" i="70"/>
  <c r="H23" i="70"/>
  <c r="I23" i="70" s="1"/>
  <c r="H22" i="70"/>
  <c r="I22" i="70" s="1"/>
  <c r="D22" i="70"/>
  <c r="A15" i="44" l="1"/>
  <c r="I41" i="70"/>
  <c r="I38" i="70"/>
  <c r="I31" i="70"/>
  <c r="I45" i="70"/>
  <c r="D46" i="70"/>
  <c r="I37" i="70"/>
  <c r="B15" i="44"/>
  <c r="E15" i="44" s="1"/>
  <c r="F15" i="44" s="1"/>
  <c r="C47" i="70" l="1"/>
  <c r="D11" i="44" s="1"/>
  <c r="F20" i="44" s="1"/>
  <c r="C11" i="44"/>
  <c r="E19" i="44" l="1"/>
  <c r="E20" i="44"/>
  <c r="E4" i="44"/>
  <c r="F4" i="44" s="1"/>
  <c r="E11" i="44"/>
  <c r="F11" i="44" s="1"/>
  <c r="G11" i="44" s="1"/>
  <c r="D7" i="44" l="1"/>
  <c r="L12" i="50" l="1"/>
  <c r="K12" i="50"/>
  <c r="L11" i="50"/>
  <c r="K11" i="50"/>
  <c r="J4" i="50"/>
  <c r="J50" i="50"/>
  <c r="K50" i="50"/>
  <c r="L50" i="50"/>
  <c r="I50" i="50"/>
  <c r="J49" i="50"/>
  <c r="K49" i="50"/>
  <c r="L49" i="50"/>
  <c r="I49" i="50"/>
  <c r="J48" i="50"/>
  <c r="K48" i="50"/>
  <c r="L48" i="50"/>
  <c r="I48" i="50"/>
  <c r="J47" i="50"/>
  <c r="K47" i="50"/>
  <c r="L47" i="50"/>
  <c r="I47" i="50"/>
  <c r="J46" i="50"/>
  <c r="K46" i="50"/>
  <c r="L46" i="50"/>
  <c r="I46" i="50"/>
  <c r="J45" i="50"/>
  <c r="K45" i="50"/>
  <c r="L45" i="50"/>
  <c r="I45" i="50"/>
  <c r="J44" i="50"/>
  <c r="K44" i="50"/>
  <c r="L44" i="50"/>
  <c r="I44" i="50"/>
  <c r="J43" i="50"/>
  <c r="K43" i="50"/>
  <c r="L43" i="50"/>
  <c r="I43" i="50"/>
  <c r="J42" i="50"/>
  <c r="K42" i="50"/>
  <c r="L42" i="50"/>
  <c r="I42" i="50"/>
  <c r="J41" i="50"/>
  <c r="K41" i="50"/>
  <c r="L41" i="50"/>
  <c r="I41" i="50"/>
  <c r="J40" i="50"/>
  <c r="K40" i="50"/>
  <c r="L40" i="50"/>
  <c r="I40" i="50"/>
  <c r="J39" i="50"/>
  <c r="K39" i="50"/>
  <c r="L39" i="50"/>
  <c r="I39" i="50"/>
  <c r="C50" i="50"/>
  <c r="D50" i="50"/>
  <c r="N50" i="50" s="1"/>
  <c r="E50" i="50"/>
  <c r="O50" i="50" s="1"/>
  <c r="B50" i="50"/>
  <c r="C49" i="50"/>
  <c r="D49" i="50"/>
  <c r="E49" i="50"/>
  <c r="O49" i="50" s="1"/>
  <c r="B49" i="50"/>
  <c r="C48" i="50"/>
  <c r="D48" i="50"/>
  <c r="N48" i="50" s="1"/>
  <c r="E48" i="50"/>
  <c r="O48" i="50" s="1"/>
  <c r="B48" i="50"/>
  <c r="C47" i="50"/>
  <c r="D47" i="50"/>
  <c r="N47" i="50" s="1"/>
  <c r="E47" i="50"/>
  <c r="O47" i="50" s="1"/>
  <c r="B47" i="50"/>
  <c r="C46" i="50"/>
  <c r="D46" i="50"/>
  <c r="N46" i="50" s="1"/>
  <c r="E46" i="50"/>
  <c r="O46" i="50" s="1"/>
  <c r="B46" i="50"/>
  <c r="C45" i="50"/>
  <c r="D45" i="50"/>
  <c r="N45" i="50" s="1"/>
  <c r="E45" i="50"/>
  <c r="O45" i="50" s="1"/>
  <c r="B45" i="50"/>
  <c r="C44" i="50"/>
  <c r="D44" i="50"/>
  <c r="N44" i="50" s="1"/>
  <c r="E44" i="50"/>
  <c r="O44" i="50" s="1"/>
  <c r="B44" i="50"/>
  <c r="C43" i="50"/>
  <c r="D43" i="50"/>
  <c r="N43" i="50" s="1"/>
  <c r="E43" i="50"/>
  <c r="O43" i="50" s="1"/>
  <c r="B43" i="50"/>
  <c r="C42" i="50"/>
  <c r="D42" i="50"/>
  <c r="N42" i="50" s="1"/>
  <c r="E42" i="50"/>
  <c r="O42" i="50" s="1"/>
  <c r="B42" i="50"/>
  <c r="C41" i="50"/>
  <c r="D41" i="50"/>
  <c r="N41" i="50" s="1"/>
  <c r="E41" i="50"/>
  <c r="O41" i="50" s="1"/>
  <c r="B41" i="50"/>
  <c r="C40" i="50"/>
  <c r="D40" i="50"/>
  <c r="N40" i="50" s="1"/>
  <c r="E40" i="50"/>
  <c r="O40" i="50" s="1"/>
  <c r="B40" i="50"/>
  <c r="C39" i="50"/>
  <c r="D39" i="50"/>
  <c r="N39" i="50" s="1"/>
  <c r="E39" i="50"/>
  <c r="O39" i="50" s="1"/>
  <c r="B39" i="50"/>
  <c r="M11" i="50" l="1"/>
  <c r="I15" i="50"/>
  <c r="L4" i="50" s="1"/>
  <c r="N49" i="50"/>
  <c r="K4" i="50" s="1"/>
  <c r="O11" i="50"/>
  <c r="M12" i="50"/>
  <c r="O12" i="50"/>
  <c r="L7" i="50" s="1"/>
  <c r="Q58" i="49"/>
  <c r="P58" i="49"/>
  <c r="J7" i="50"/>
  <c r="P65" i="49"/>
  <c r="Q65" i="49"/>
  <c r="K7" i="50"/>
  <c r="P38" i="50"/>
  <c r="P55" i="49"/>
  <c r="Q55" i="49"/>
  <c r="Q59" i="49"/>
  <c r="P59" i="49"/>
  <c r="P64" i="49"/>
  <c r="Q64" i="49"/>
  <c r="Q56" i="49"/>
  <c r="P56" i="49"/>
  <c r="P62" i="49"/>
  <c r="Q62" i="49"/>
  <c r="Q57" i="49"/>
  <c r="P57" i="49"/>
  <c r="P63" i="49"/>
  <c r="Q63" i="49"/>
  <c r="Q61" i="49"/>
  <c r="P61" i="49"/>
  <c r="Q60" i="49"/>
  <c r="P60" i="49"/>
  <c r="N11" i="50"/>
  <c r="N12" i="50"/>
  <c r="K65" i="49"/>
  <c r="J64" i="49"/>
  <c r="J65" i="49" s="1"/>
  <c r="E60" i="49"/>
  <c r="E62" i="49" s="1"/>
  <c r="G62" i="49" s="1"/>
  <c r="E59" i="49"/>
  <c r="L48" i="49"/>
  <c r="L49" i="49"/>
  <c r="L50" i="49"/>
  <c r="L51" i="49"/>
  <c r="L47" i="49"/>
  <c r="D31" i="49"/>
  <c r="E31" i="49"/>
  <c r="F31" i="49"/>
  <c r="G31" i="49"/>
  <c r="H31" i="49"/>
  <c r="I31" i="49"/>
  <c r="J31" i="49"/>
  <c r="K31" i="49"/>
  <c r="L31" i="49"/>
  <c r="M31" i="49"/>
  <c r="D32" i="49"/>
  <c r="E32" i="49"/>
  <c r="F32" i="49"/>
  <c r="G32" i="49"/>
  <c r="H32" i="49"/>
  <c r="I32" i="49"/>
  <c r="J32" i="49"/>
  <c r="K32" i="49"/>
  <c r="L32" i="49"/>
  <c r="M32" i="49"/>
  <c r="C32" i="49"/>
  <c r="C31" i="49"/>
  <c r="P24" i="49"/>
  <c r="Q24" i="49"/>
  <c r="R24" i="49"/>
  <c r="S24" i="49"/>
  <c r="T24" i="49"/>
  <c r="U24" i="49"/>
  <c r="V24" i="49"/>
  <c r="W24" i="49"/>
  <c r="X24" i="49"/>
  <c r="Y24" i="49"/>
  <c r="P25" i="49"/>
  <c r="Q25" i="49"/>
  <c r="R25" i="49"/>
  <c r="S25" i="49"/>
  <c r="T25" i="49"/>
  <c r="U25" i="49"/>
  <c r="V25" i="49"/>
  <c r="W25" i="49"/>
  <c r="X25" i="49"/>
  <c r="Y25" i="49"/>
  <c r="P26" i="49"/>
  <c r="Q26" i="49"/>
  <c r="R26" i="49"/>
  <c r="S26" i="49"/>
  <c r="T26" i="49"/>
  <c r="U26" i="49"/>
  <c r="V26" i="49"/>
  <c r="W26" i="49"/>
  <c r="X26" i="49"/>
  <c r="Y26" i="49"/>
  <c r="P27" i="49"/>
  <c r="Q27" i="49"/>
  <c r="R27" i="49"/>
  <c r="S27" i="49"/>
  <c r="T27" i="49"/>
  <c r="U27" i="49"/>
  <c r="V27" i="49"/>
  <c r="W27" i="49"/>
  <c r="X27" i="49"/>
  <c r="Y27" i="49"/>
  <c r="P28" i="49"/>
  <c r="Q28" i="49"/>
  <c r="R28" i="49"/>
  <c r="S28" i="49"/>
  <c r="T28" i="49"/>
  <c r="U28" i="49"/>
  <c r="V28" i="49"/>
  <c r="W28" i="49"/>
  <c r="X28" i="49"/>
  <c r="Y28" i="49"/>
  <c r="P29" i="49"/>
  <c r="L54" i="49" s="1"/>
  <c r="Q29" i="49"/>
  <c r="L55" i="49" s="1"/>
  <c r="R29" i="49"/>
  <c r="L56" i="49" s="1"/>
  <c r="S29" i="49"/>
  <c r="T29" i="49"/>
  <c r="U29" i="49"/>
  <c r="L59" i="49" s="1"/>
  <c r="V29" i="49"/>
  <c r="L60" i="49" s="1"/>
  <c r="W29" i="49"/>
  <c r="L61" i="49" s="1"/>
  <c r="X29" i="49"/>
  <c r="L62" i="49" s="1"/>
  <c r="Y29" i="49"/>
  <c r="L63" i="49" s="1"/>
  <c r="P30" i="49"/>
  <c r="Q30" i="49"/>
  <c r="R30" i="49"/>
  <c r="S30" i="49"/>
  <c r="T30" i="49"/>
  <c r="U30" i="49"/>
  <c r="V30" i="49"/>
  <c r="W30" i="49"/>
  <c r="X30" i="49"/>
  <c r="Y30" i="49"/>
  <c r="Y23" i="49"/>
  <c r="X23" i="49"/>
  <c r="W23" i="49"/>
  <c r="V23" i="49"/>
  <c r="U23" i="49"/>
  <c r="T23" i="49"/>
  <c r="S23" i="49"/>
  <c r="R23" i="49"/>
  <c r="Q23" i="49"/>
  <c r="P23" i="49"/>
  <c r="O24" i="49"/>
  <c r="O25" i="49"/>
  <c r="O26" i="49"/>
  <c r="O31" i="49" s="1"/>
  <c r="O27" i="49"/>
  <c r="O28" i="49"/>
  <c r="O29" i="49"/>
  <c r="L53" i="49" s="1"/>
  <c r="O30" i="49"/>
  <c r="O23" i="49"/>
  <c r="N23" i="49"/>
  <c r="N24" i="49"/>
  <c r="N25" i="49"/>
  <c r="N26" i="49"/>
  <c r="N27" i="49"/>
  <c r="N28" i="49"/>
  <c r="N29" i="49"/>
  <c r="L52" i="49" s="1"/>
  <c r="N30" i="49"/>
  <c r="D68" i="49"/>
  <c r="F37" i="49"/>
  <c r="G37" i="49"/>
  <c r="F38" i="49"/>
  <c r="G38" i="49"/>
  <c r="F39" i="49"/>
  <c r="G39" i="49"/>
  <c r="F40" i="49"/>
  <c r="G40" i="49"/>
  <c r="F41" i="49"/>
  <c r="G41" i="49"/>
  <c r="F42" i="49"/>
  <c r="G42" i="49"/>
  <c r="F43" i="49"/>
  <c r="G43" i="49"/>
  <c r="F44" i="49"/>
  <c r="G44" i="49"/>
  <c r="F45" i="49"/>
  <c r="G45" i="49"/>
  <c r="F46" i="49"/>
  <c r="G46" i="49"/>
  <c r="F47" i="49"/>
  <c r="G47" i="49"/>
  <c r="F48" i="49"/>
  <c r="G48" i="49"/>
  <c r="F49" i="49"/>
  <c r="G49" i="49"/>
  <c r="F50" i="49"/>
  <c r="G50" i="49"/>
  <c r="F51" i="49"/>
  <c r="G51" i="49"/>
  <c r="F52" i="49"/>
  <c r="G52" i="49"/>
  <c r="F53" i="49"/>
  <c r="G53" i="49"/>
  <c r="F54" i="49"/>
  <c r="G54" i="49"/>
  <c r="F55" i="49"/>
  <c r="G55" i="49"/>
  <c r="F56" i="49"/>
  <c r="G56" i="49"/>
  <c r="F57" i="49"/>
  <c r="G57" i="49"/>
  <c r="F58" i="49"/>
  <c r="G58" i="49"/>
  <c r="F59" i="49"/>
  <c r="F60" i="49"/>
  <c r="F61" i="49"/>
  <c r="F62" i="49"/>
  <c r="G36" i="49"/>
  <c r="F36" i="49"/>
  <c r="G59" i="49"/>
  <c r="D63" i="49"/>
  <c r="D65" i="49" s="1"/>
  <c r="C64" i="49"/>
  <c r="C63" i="49"/>
  <c r="B64" i="49"/>
  <c r="B63" i="49"/>
  <c r="C68" i="49"/>
  <c r="N37" i="49"/>
  <c r="O37" i="49"/>
  <c r="N38" i="49"/>
  <c r="O38" i="49"/>
  <c r="N39" i="49"/>
  <c r="O39" i="49"/>
  <c r="N40" i="49"/>
  <c r="O40" i="49"/>
  <c r="N41" i="49"/>
  <c r="O41" i="49"/>
  <c r="N42" i="49"/>
  <c r="O42" i="49"/>
  <c r="N43" i="49"/>
  <c r="O43" i="49"/>
  <c r="N44" i="49"/>
  <c r="O44" i="49"/>
  <c r="N45" i="49"/>
  <c r="O45" i="49"/>
  <c r="N46" i="49"/>
  <c r="O46" i="49"/>
  <c r="O36" i="49"/>
  <c r="N36" i="49"/>
  <c r="G60" i="49" l="1"/>
  <c r="Q38" i="49"/>
  <c r="Q50" i="49"/>
  <c r="P44" i="49"/>
  <c r="Q39" i="49"/>
  <c r="Q51" i="49"/>
  <c r="P45" i="49"/>
  <c r="Q40" i="49"/>
  <c r="R40" i="49" s="1"/>
  <c r="Q52" i="49"/>
  <c r="P46" i="49"/>
  <c r="Q41" i="49"/>
  <c r="R41" i="49" s="1"/>
  <c r="Q53" i="49"/>
  <c r="P47" i="49"/>
  <c r="Q42" i="49"/>
  <c r="Q54" i="49"/>
  <c r="P48" i="49"/>
  <c r="Q43" i="49"/>
  <c r="Q36" i="49"/>
  <c r="R36" i="49" s="1"/>
  <c r="P37" i="49"/>
  <c r="P49" i="49"/>
  <c r="Q44" i="49"/>
  <c r="R44" i="49" s="1"/>
  <c r="P38" i="49"/>
  <c r="P50" i="49"/>
  <c r="P54" i="49"/>
  <c r="Q45" i="49"/>
  <c r="R45" i="49" s="1"/>
  <c r="P39" i="49"/>
  <c r="P51" i="49"/>
  <c r="P52" i="49"/>
  <c r="P53" i="49"/>
  <c r="P42" i="49"/>
  <c r="Q46" i="49"/>
  <c r="R46" i="49" s="1"/>
  <c r="P40" i="49"/>
  <c r="Q48" i="49"/>
  <c r="Q47" i="49"/>
  <c r="P41" i="49"/>
  <c r="Q37" i="49"/>
  <c r="R37" i="49" s="1"/>
  <c r="Q49" i="49"/>
  <c r="P43" i="49"/>
  <c r="P36" i="49"/>
  <c r="R39" i="49"/>
  <c r="L65" i="49"/>
  <c r="E61" i="49"/>
  <c r="G61" i="49" s="1"/>
  <c r="E65" i="49"/>
  <c r="E64" i="49"/>
  <c r="G64" i="49" s="1"/>
  <c r="E63" i="49"/>
  <c r="G63" i="49" s="1"/>
  <c r="N32" i="49"/>
  <c r="Q31" i="49"/>
  <c r="O32" i="49"/>
  <c r="X32" i="49"/>
  <c r="R32" i="49"/>
  <c r="P31" i="49"/>
  <c r="S32" i="49"/>
  <c r="Y32" i="49"/>
  <c r="V32" i="49"/>
  <c r="T31" i="49"/>
  <c r="N31" i="49"/>
  <c r="Q32" i="49"/>
  <c r="P32" i="49"/>
  <c r="U32" i="49"/>
  <c r="S31" i="49"/>
  <c r="Y31" i="49"/>
  <c r="T32" i="49"/>
  <c r="R31" i="49"/>
  <c r="X31" i="49"/>
  <c r="W32" i="49"/>
  <c r="U31" i="49"/>
  <c r="R38" i="49"/>
  <c r="V31" i="49"/>
  <c r="L58" i="49"/>
  <c r="W31" i="49"/>
  <c r="L57" i="49"/>
  <c r="R42" i="49"/>
  <c r="R43" i="49"/>
  <c r="B65" i="49"/>
  <c r="F65" i="49" s="1"/>
  <c r="F63" i="49"/>
  <c r="D64" i="49"/>
  <c r="F64" i="49" s="1"/>
  <c r="C65" i="49" l="1"/>
  <c r="G65" i="49" s="1"/>
  <c r="S36" i="49" l="1"/>
  <c r="S37" i="49"/>
  <c r="S38" i="49"/>
  <c r="S39" i="49"/>
  <c r="S40" i="49"/>
  <c r="S41" i="49"/>
  <c r="S42" i="49"/>
  <c r="S43" i="49"/>
  <c r="S44" i="49"/>
  <c r="S45" i="49"/>
  <c r="S46" i="49"/>
  <c r="S54" i="49" l="1"/>
  <c r="S64" i="49"/>
  <c r="S55" i="49"/>
  <c r="S51" i="49"/>
  <c r="S56" i="49"/>
  <c r="S63" i="49"/>
  <c r="S57" i="49"/>
  <c r="S58" i="49"/>
  <c r="S47" i="49"/>
  <c r="S59" i="49"/>
  <c r="S48" i="49"/>
  <c r="S60" i="49"/>
  <c r="S49" i="49"/>
  <c r="S61" i="49"/>
  <c r="S52" i="49"/>
  <c r="S50" i="49"/>
  <c r="S62" i="49"/>
  <c r="S53" i="49"/>
  <c r="S65" i="49"/>
  <c r="H14" i="52" l="1"/>
  <c r="H12" i="52"/>
  <c r="I12" i="52" s="1"/>
  <c r="G66" i="52"/>
  <c r="F66" i="52"/>
  <c r="G58" i="52"/>
  <c r="G59" i="52" s="1"/>
  <c r="F58" i="52"/>
  <c r="F40" i="52"/>
  <c r="F36" i="52"/>
  <c r="F33" i="52"/>
  <c r="F28" i="52"/>
  <c r="F24" i="52"/>
  <c r="F15" i="52"/>
  <c r="F11" i="52"/>
  <c r="M4" i="50"/>
  <c r="N4" i="50" s="1"/>
  <c r="N63" i="49" l="1"/>
  <c r="M7" i="50"/>
  <c r="N7" i="50" s="1"/>
  <c r="O7" i="50" s="1"/>
  <c r="B4" i="12" s="1"/>
  <c r="F73" i="49"/>
  <c r="G73" i="49" s="1"/>
  <c r="H73" i="49" s="1"/>
  <c r="C6" i="6" s="1"/>
  <c r="G67" i="52"/>
  <c r="F49" i="52"/>
  <c r="F59" i="52" s="1"/>
  <c r="F67" i="52" s="1"/>
  <c r="O4" i="50"/>
  <c r="C4" i="6" s="1"/>
  <c r="N47" i="49" l="1"/>
  <c r="E6" i="6"/>
  <c r="Q6" i="6"/>
  <c r="AC6" i="6"/>
  <c r="S6" i="6"/>
  <c r="H6" i="6"/>
  <c r="T6" i="6"/>
  <c r="AF6" i="6"/>
  <c r="I6" i="6"/>
  <c r="J6" i="6"/>
  <c r="AH6" i="6"/>
  <c r="W6" i="6"/>
  <c r="L6" i="6"/>
  <c r="B6" i="6"/>
  <c r="N6" i="6"/>
  <c r="Z6" i="6"/>
  <c r="AB6" i="6"/>
  <c r="F6" i="6"/>
  <c r="R6" i="6"/>
  <c r="AD6" i="6"/>
  <c r="G6" i="6"/>
  <c r="AE6" i="6"/>
  <c r="U6" i="6"/>
  <c r="AG6" i="6"/>
  <c r="V6" i="6"/>
  <c r="K6" i="6"/>
  <c r="D6" i="6"/>
  <c r="X6" i="6"/>
  <c r="M6" i="6"/>
  <c r="Y6" i="6"/>
  <c r="O6" i="6"/>
  <c r="AA6" i="6"/>
  <c r="P6" i="6"/>
  <c r="N4" i="12"/>
  <c r="Z4" i="12"/>
  <c r="W4" i="12"/>
  <c r="O4" i="12"/>
  <c r="AA4" i="12"/>
  <c r="C4" i="12"/>
  <c r="X4" i="12"/>
  <c r="D4" i="12"/>
  <c r="P4" i="12"/>
  <c r="AB4" i="12"/>
  <c r="E4" i="12"/>
  <c r="Q4" i="12"/>
  <c r="AC4" i="12"/>
  <c r="J4" i="12"/>
  <c r="F4" i="12"/>
  <c r="R4" i="12"/>
  <c r="AD4" i="12"/>
  <c r="V4" i="12"/>
  <c r="L4" i="12"/>
  <c r="G4" i="12"/>
  <c r="S4" i="12"/>
  <c r="AE4" i="12"/>
  <c r="AF4" i="12"/>
  <c r="H4" i="12"/>
  <c r="T4" i="12"/>
  <c r="I4" i="12"/>
  <c r="U4" i="12"/>
  <c r="AG4" i="12"/>
  <c r="K4" i="12"/>
  <c r="M4" i="12"/>
  <c r="Y4" i="12"/>
  <c r="AE4" i="6"/>
  <c r="H4" i="6"/>
  <c r="I4" i="6"/>
  <c r="U4" i="6"/>
  <c r="AG4" i="6"/>
  <c r="W4" i="6"/>
  <c r="B4" i="6"/>
  <c r="J4" i="6"/>
  <c r="V4" i="6"/>
  <c r="AH4" i="6"/>
  <c r="K4" i="6"/>
  <c r="D4" i="6"/>
  <c r="X4" i="6"/>
  <c r="Y4" i="6"/>
  <c r="L4" i="6"/>
  <c r="M4" i="6"/>
  <c r="N4" i="6"/>
  <c r="Z4" i="6"/>
  <c r="O4" i="6"/>
  <c r="AA4" i="6"/>
  <c r="S4" i="6"/>
  <c r="T4" i="6"/>
  <c r="P4" i="6"/>
  <c r="AB4" i="6"/>
  <c r="E4" i="6"/>
  <c r="Q4" i="6"/>
  <c r="AC4" i="6"/>
  <c r="F4" i="6"/>
  <c r="R4" i="6"/>
  <c r="AD4" i="6"/>
  <c r="G4" i="6"/>
  <c r="AF4" i="6"/>
  <c r="N64" i="49" l="1"/>
  <c r="N48" i="49"/>
  <c r="E7" i="44"/>
  <c r="F7" i="44" s="1"/>
  <c r="G7" i="44" s="1"/>
  <c r="B5" i="12" s="1"/>
  <c r="C4" i="44"/>
  <c r="F19" i="44" s="1"/>
  <c r="D42" i="45"/>
  <c r="D41" i="45"/>
  <c r="D40" i="45"/>
  <c r="D39" i="45"/>
  <c r="D37" i="45"/>
  <c r="D36" i="45"/>
  <c r="D35" i="45"/>
  <c r="D34" i="45"/>
  <c r="D33" i="45"/>
  <c r="D32" i="45"/>
  <c r="D31" i="45"/>
  <c r="D30" i="45"/>
  <c r="D29" i="45"/>
  <c r="G19" i="44" l="1"/>
  <c r="N49" i="49"/>
  <c r="N65" i="49"/>
  <c r="D5" i="12"/>
  <c r="P5" i="12"/>
  <c r="AB5" i="12"/>
  <c r="R5" i="12"/>
  <c r="AD5" i="12"/>
  <c r="W5" i="12"/>
  <c r="E5" i="12"/>
  <c r="Q5" i="12"/>
  <c r="AC5" i="12"/>
  <c r="F5" i="12"/>
  <c r="L5" i="12"/>
  <c r="M5" i="12"/>
  <c r="N5" i="12"/>
  <c r="O5" i="12"/>
  <c r="G5" i="12"/>
  <c r="S5" i="12"/>
  <c r="AE5" i="12"/>
  <c r="AG5" i="12"/>
  <c r="V5" i="12"/>
  <c r="X5" i="12"/>
  <c r="H5" i="12"/>
  <c r="T5" i="12"/>
  <c r="AF5" i="12"/>
  <c r="U5" i="12"/>
  <c r="C5" i="12"/>
  <c r="I5" i="12"/>
  <c r="J5" i="12"/>
  <c r="K5" i="12"/>
  <c r="Y5" i="12"/>
  <c r="Z5" i="12"/>
  <c r="AA5" i="12"/>
  <c r="D15" i="44" l="1"/>
  <c r="G15" i="44" s="1"/>
  <c r="C5" i="6" s="1"/>
  <c r="B5" i="6" s="1"/>
  <c r="C76" i="49"/>
  <c r="C69" i="49"/>
  <c r="E76" i="49" s="1"/>
  <c r="N50" i="49"/>
  <c r="AH5" i="6"/>
  <c r="AE5" i="6"/>
  <c r="AC5" i="6"/>
  <c r="N5" i="6"/>
  <c r="P5" i="6"/>
  <c r="U5" i="6"/>
  <c r="AD5" i="6"/>
  <c r="G5" i="6"/>
  <c r="M5" i="6"/>
  <c r="T5" i="6"/>
  <c r="AG5" i="6"/>
  <c r="F5" i="6"/>
  <c r="AB5" i="6"/>
  <c r="L5" i="6"/>
  <c r="AA5" i="6"/>
  <c r="E5" i="6"/>
  <c r="O5" i="6"/>
  <c r="J5" i="6"/>
  <c r="X5" i="6"/>
  <c r="AF5" i="6"/>
  <c r="V5" i="6"/>
  <c r="Y5" i="6"/>
  <c r="W5" i="6"/>
  <c r="R5" i="6"/>
  <c r="Q5" i="6"/>
  <c r="K5" i="6"/>
  <c r="S5" i="6"/>
  <c r="I5" i="6"/>
  <c r="H5" i="6"/>
  <c r="D5" i="6"/>
  <c r="Z5" i="6" l="1"/>
  <c r="N51" i="49"/>
  <c r="L7" i="6"/>
  <c r="N52" i="49" l="1"/>
  <c r="F7" i="6"/>
  <c r="P7" i="6"/>
  <c r="O7" i="6"/>
  <c r="G7" i="6"/>
  <c r="W7" i="6"/>
  <c r="V7" i="6"/>
  <c r="AF7" i="6"/>
  <c r="AB7" i="6"/>
  <c r="AA7" i="6"/>
  <c r="Z7" i="6"/>
  <c r="K7" i="6"/>
  <c r="Y7" i="6"/>
  <c r="J7" i="6"/>
  <c r="I7" i="6"/>
  <c r="H7" i="6"/>
  <c r="X7" i="6"/>
  <c r="AH7" i="6"/>
  <c r="AG7" i="6"/>
  <c r="T7" i="6"/>
  <c r="E7" i="6"/>
  <c r="D7" i="6"/>
  <c r="U7" i="6"/>
  <c r="AE7" i="6"/>
  <c r="S7" i="6"/>
  <c r="AD7" i="6"/>
  <c r="R7" i="6"/>
  <c r="AC7" i="6"/>
  <c r="Q7" i="6"/>
  <c r="N7" i="6"/>
  <c r="M7" i="6"/>
  <c r="K6" i="39"/>
  <c r="J9" i="39"/>
  <c r="J6" i="39"/>
  <c r="J14" i="39"/>
  <c r="J12" i="39" s="1"/>
  <c r="G24" i="39"/>
  <c r="J20" i="39" s="1"/>
  <c r="G21" i="39"/>
  <c r="J19" i="39" s="1"/>
  <c r="G17" i="39"/>
  <c r="J18" i="39" s="1"/>
  <c r="G13" i="39"/>
  <c r="J13" i="39" s="1"/>
  <c r="G9" i="39"/>
  <c r="J8" i="39" s="1"/>
  <c r="G8" i="39"/>
  <c r="J5" i="39" s="1"/>
  <c r="G7" i="39"/>
  <c r="J7" i="39" s="1"/>
  <c r="G27" i="39"/>
  <c r="J27" i="39" s="1"/>
  <c r="G26" i="39"/>
  <c r="J25" i="39" s="1"/>
  <c r="L25" i="39" s="1"/>
  <c r="Q11" i="39" s="1"/>
  <c r="G25" i="39"/>
  <c r="J26" i="39" s="1"/>
  <c r="C27" i="39"/>
  <c r="C26" i="39"/>
  <c r="C25" i="39"/>
  <c r="C24" i="39"/>
  <c r="C23" i="39"/>
  <c r="C22" i="39"/>
  <c r="C21" i="39"/>
  <c r="C20" i="39"/>
  <c r="C19" i="39"/>
  <c r="C17" i="39"/>
  <c r="C16" i="39"/>
  <c r="C15" i="39"/>
  <c r="C14" i="39"/>
  <c r="C13" i="39"/>
  <c r="C12" i="39"/>
  <c r="C11" i="39"/>
  <c r="C10" i="39"/>
  <c r="C9" i="39"/>
  <c r="C8" i="39"/>
  <c r="C7" i="39"/>
  <c r="C6" i="39"/>
  <c r="C5" i="39"/>
  <c r="C4" i="39"/>
  <c r="F37" i="37"/>
  <c r="H27" i="39" s="1"/>
  <c r="F35" i="37"/>
  <c r="H25" i="39" s="1"/>
  <c r="F36" i="37"/>
  <c r="H26" i="39" s="1"/>
  <c r="F33" i="37"/>
  <c r="H24" i="39" s="1"/>
  <c r="F29" i="37"/>
  <c r="H21" i="39" s="1"/>
  <c r="F25" i="37"/>
  <c r="H17" i="39" s="1"/>
  <c r="F23" i="37"/>
  <c r="F24" i="37"/>
  <c r="F32" i="37"/>
  <c r="F28" i="37"/>
  <c r="F31" i="37"/>
  <c r="F27" i="37"/>
  <c r="G19" i="39" s="1"/>
  <c r="F17" i="37"/>
  <c r="F19" i="37"/>
  <c r="H13" i="39" s="1"/>
  <c r="K13" i="39" s="1"/>
  <c r="F20" i="37"/>
  <c r="K14" i="39" s="1"/>
  <c r="F18" i="37"/>
  <c r="F12" i="37"/>
  <c r="F10" i="37"/>
  <c r="H7" i="39" s="1"/>
  <c r="F7" i="37"/>
  <c r="F13" i="37"/>
  <c r="H9" i="39" s="1"/>
  <c r="F9" i="37"/>
  <c r="F14" i="37"/>
  <c r="F8" i="37"/>
  <c r="N53" i="49" l="1"/>
  <c r="D4" i="39"/>
  <c r="E4" i="39" s="1"/>
  <c r="G11" i="39"/>
  <c r="J11" i="39" s="1"/>
  <c r="G15" i="39"/>
  <c r="J15" i="39" s="1"/>
  <c r="K9" i="39"/>
  <c r="D22" i="39"/>
  <c r="E22" i="39" s="1"/>
  <c r="D8" i="39"/>
  <c r="E8" i="39" s="1"/>
  <c r="H19" i="39"/>
  <c r="K16" i="39" s="1"/>
  <c r="K26" i="39"/>
  <c r="H15" i="39"/>
  <c r="K15" i="39" s="1"/>
  <c r="K25" i="39"/>
  <c r="M25" i="39" s="1"/>
  <c r="R11" i="39" s="1"/>
  <c r="K27" i="39"/>
  <c r="H11" i="39"/>
  <c r="K11" i="39" s="1"/>
  <c r="G4" i="39"/>
  <c r="J4" i="39" s="1"/>
  <c r="H4" i="39"/>
  <c r="K4" i="39" s="1"/>
  <c r="H8" i="39"/>
  <c r="K5" i="39" s="1"/>
  <c r="H22" i="39"/>
  <c r="K17" i="39" s="1"/>
  <c r="K18" i="39"/>
  <c r="K19" i="39"/>
  <c r="K20" i="39"/>
  <c r="K8" i="39"/>
  <c r="D11" i="39"/>
  <c r="E11" i="39" s="1"/>
  <c r="D15" i="39"/>
  <c r="E15" i="39" s="1"/>
  <c r="D19" i="39"/>
  <c r="E19" i="39" s="1"/>
  <c r="M13" i="39"/>
  <c r="R8" i="39" s="1"/>
  <c r="L13" i="39"/>
  <c r="Q8" i="39" s="1"/>
  <c r="K7" i="39"/>
  <c r="J16" i="39"/>
  <c r="G23" i="37"/>
  <c r="G17" i="37"/>
  <c r="G27" i="37"/>
  <c r="G31" i="37"/>
  <c r="G22" i="39" s="1"/>
  <c r="J17" i="39" s="1"/>
  <c r="G7" i="37"/>
  <c r="G12" i="37"/>
  <c r="C7" i="12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N54" i="49" l="1"/>
  <c r="L26" i="39"/>
  <c r="Q14" i="39" s="1"/>
  <c r="M26" i="39"/>
  <c r="R14" i="39" s="1"/>
  <c r="L7" i="39"/>
  <c r="Q7" i="39" s="1"/>
  <c r="L11" i="39"/>
  <c r="Q5" i="39" s="1"/>
  <c r="M11" i="39"/>
  <c r="R5" i="39" s="1"/>
  <c r="L4" i="39"/>
  <c r="Q4" i="39" s="1"/>
  <c r="M18" i="39"/>
  <c r="R13" i="39" s="1"/>
  <c r="M4" i="39"/>
  <c r="R4" i="39" s="1"/>
  <c r="L18" i="39"/>
  <c r="Q13" i="39" s="1"/>
  <c r="L15" i="39"/>
  <c r="Q10" i="39" s="1"/>
  <c r="M15" i="39"/>
  <c r="R10" i="39" s="1"/>
  <c r="M7" i="39"/>
  <c r="R7" i="39" s="1"/>
  <c r="N55" i="49" l="1"/>
  <c r="S10" i="39"/>
  <c r="C2" i="12" s="1"/>
  <c r="S7" i="39"/>
  <c r="C3" i="6" s="1"/>
  <c r="S4" i="39"/>
  <c r="C2" i="6" s="1"/>
  <c r="S13" i="39"/>
  <c r="C3" i="12" s="1"/>
  <c r="N56" i="49" l="1"/>
  <c r="E2" i="12"/>
  <c r="Q2" i="12"/>
  <c r="AC2" i="12"/>
  <c r="R2" i="12"/>
  <c r="AD2" i="12"/>
  <c r="B2" i="12"/>
  <c r="G2" i="12"/>
  <c r="S2" i="12"/>
  <c r="AE2" i="12"/>
  <c r="T2" i="12"/>
  <c r="AF2" i="12"/>
  <c r="I2" i="12"/>
  <c r="AG2" i="12"/>
  <c r="J2" i="12"/>
  <c r="V2" i="12"/>
  <c r="O2" i="12"/>
  <c r="F2" i="12"/>
  <c r="H2" i="12"/>
  <c r="W2" i="12"/>
  <c r="L2" i="12"/>
  <c r="M2" i="12"/>
  <c r="D2" i="12"/>
  <c r="U2" i="12"/>
  <c r="X2" i="12"/>
  <c r="K2" i="12"/>
  <c r="N2" i="12"/>
  <c r="AB2" i="12"/>
  <c r="Y2" i="12"/>
  <c r="Z2" i="12"/>
  <c r="AA2" i="12"/>
  <c r="P2" i="12"/>
  <c r="L3" i="12"/>
  <c r="X3" i="12"/>
  <c r="B3" i="12"/>
  <c r="M3" i="12"/>
  <c r="Z3" i="12"/>
  <c r="O3" i="12"/>
  <c r="AA3" i="12"/>
  <c r="P3" i="12"/>
  <c r="AB3" i="12"/>
  <c r="E3" i="12"/>
  <c r="Q3" i="12"/>
  <c r="AC3" i="12"/>
  <c r="R3" i="12"/>
  <c r="W3" i="12"/>
  <c r="Y3" i="12"/>
  <c r="N3" i="12"/>
  <c r="AD3" i="12"/>
  <c r="S3" i="12"/>
  <c r="T3" i="12"/>
  <c r="I3" i="12"/>
  <c r="AG3" i="12"/>
  <c r="J3" i="12"/>
  <c r="D3" i="12"/>
  <c r="AF3" i="12"/>
  <c r="U3" i="12"/>
  <c r="V3" i="12"/>
  <c r="F3" i="12"/>
  <c r="G3" i="12"/>
  <c r="AE3" i="12"/>
  <c r="H3" i="12"/>
  <c r="K3" i="12"/>
  <c r="J3" i="6"/>
  <c r="V3" i="6"/>
  <c r="AH3" i="6"/>
  <c r="L3" i="6"/>
  <c r="G3" i="6"/>
  <c r="AF3" i="6"/>
  <c r="K3" i="6"/>
  <c r="W3" i="6"/>
  <c r="D3" i="6"/>
  <c r="X3" i="6"/>
  <c r="Q3" i="6"/>
  <c r="M3" i="6"/>
  <c r="Y3" i="6"/>
  <c r="B3" i="6"/>
  <c r="O3" i="6"/>
  <c r="P3" i="6"/>
  <c r="E3" i="6"/>
  <c r="AD3" i="6"/>
  <c r="S3" i="6"/>
  <c r="T3" i="6"/>
  <c r="N3" i="6"/>
  <c r="Z3" i="6"/>
  <c r="AA3" i="6"/>
  <c r="H3" i="6"/>
  <c r="AB3" i="6"/>
  <c r="AC3" i="6"/>
  <c r="R3" i="6"/>
  <c r="AE3" i="6"/>
  <c r="F3" i="6"/>
  <c r="I3" i="6"/>
  <c r="U3" i="6"/>
  <c r="AG3" i="6"/>
  <c r="P2" i="6"/>
  <c r="AB2" i="6"/>
  <c r="AD2" i="6"/>
  <c r="D2" i="6"/>
  <c r="X2" i="6"/>
  <c r="E2" i="6"/>
  <c r="Q2" i="6"/>
  <c r="AC2" i="6"/>
  <c r="R2" i="6"/>
  <c r="Y2" i="6"/>
  <c r="Z2" i="6"/>
  <c r="F2" i="6"/>
  <c r="G2" i="6"/>
  <c r="S2" i="6"/>
  <c r="AE2" i="6"/>
  <c r="H2" i="6"/>
  <c r="T2" i="6"/>
  <c r="AF2" i="6"/>
  <c r="B2" i="6"/>
  <c r="U2" i="6"/>
  <c r="W2" i="6"/>
  <c r="M2" i="6"/>
  <c r="I2" i="6"/>
  <c r="AG2" i="6"/>
  <c r="J2" i="6"/>
  <c r="V2" i="6"/>
  <c r="AH2" i="6"/>
  <c r="N2" i="6"/>
  <c r="K2" i="6"/>
  <c r="L2" i="6"/>
  <c r="O2" i="6"/>
  <c r="AA2" i="6"/>
  <c r="N57" i="49" l="1"/>
  <c r="N58" i="49" l="1"/>
  <c r="N59" i="49" l="1"/>
  <c r="N60" i="49" l="1"/>
  <c r="N61" i="49" l="1"/>
  <c r="N62" i="49" l="1"/>
  <c r="M52" i="49"/>
  <c r="O52" i="49"/>
  <c r="R52" i="49" s="1"/>
  <c r="M60" i="49"/>
  <c r="O60" i="49"/>
  <c r="R60" i="49" s="1"/>
  <c r="M53" i="49"/>
  <c r="O53" i="49"/>
  <c r="R53" i="49" s="1"/>
  <c r="M59" i="49"/>
  <c r="O59" i="49" s="1"/>
  <c r="R59" i="49" s="1"/>
  <c r="M47" i="49"/>
  <c r="M51" i="49"/>
  <c r="M50" i="49"/>
  <c r="O50" i="49" s="1"/>
  <c r="R50" i="49" s="1"/>
  <c r="M56" i="49"/>
  <c r="O56" i="49" s="1"/>
  <c r="R56" i="49" s="1"/>
  <c r="M65" i="49"/>
  <c r="O65" i="49" s="1"/>
  <c r="M54" i="49"/>
  <c r="O54" i="49"/>
  <c r="R54" i="49" s="1"/>
  <c r="M58" i="49"/>
  <c r="O58" i="49" s="1"/>
  <c r="R58" i="49" s="1"/>
  <c r="M64" i="49"/>
  <c r="O64" i="49"/>
  <c r="R64" i="49" s="1"/>
  <c r="M48" i="49"/>
  <c r="M57" i="49"/>
  <c r="O57" i="49" s="1"/>
  <c r="R57" i="49" s="1"/>
  <c r="M62" i="49"/>
  <c r="O62" i="49" s="1"/>
  <c r="R62" i="49" s="1"/>
  <c r="M63" i="49"/>
  <c r="O63" i="49" s="1"/>
  <c r="R63" i="49" s="1"/>
  <c r="M55" i="49"/>
  <c r="O55" i="49" s="1"/>
  <c r="R55" i="49" s="1"/>
  <c r="M49" i="49"/>
  <c r="O49" i="49" s="1"/>
  <c r="R49" i="49" s="1"/>
  <c r="M61" i="49"/>
  <c r="O61" i="49" s="1"/>
  <c r="R61" i="49" s="1"/>
  <c r="D76" i="49" l="1"/>
  <c r="F76" i="49" s="1"/>
  <c r="G76" i="49" s="1"/>
  <c r="H76" i="49" s="1"/>
  <c r="B6" i="12" s="1"/>
  <c r="R65" i="49"/>
  <c r="D69" i="49"/>
  <c r="O51" i="49"/>
  <c r="R51" i="49" s="1"/>
  <c r="O48" i="49"/>
  <c r="R48" i="49" s="1"/>
  <c r="O47" i="49"/>
  <c r="R47" i="49" s="1"/>
  <c r="Z6" i="12" l="1"/>
  <c r="P6" i="12"/>
  <c r="AC6" i="12"/>
  <c r="Y6" i="12"/>
  <c r="G6" i="12"/>
  <c r="W6" i="12"/>
  <c r="M6" i="12"/>
  <c r="AG6" i="12"/>
  <c r="E6" i="12"/>
  <c r="U6" i="12"/>
  <c r="C6" i="12"/>
  <c r="V6" i="12"/>
  <c r="L6" i="12"/>
  <c r="S6" i="12"/>
  <c r="T6" i="12"/>
  <c r="AA6" i="12"/>
  <c r="H6" i="12"/>
  <c r="D6" i="12"/>
  <c r="I6" i="12"/>
  <c r="X6" i="12"/>
  <c r="AE6" i="12"/>
  <c r="J6" i="12"/>
  <c r="AF6" i="12"/>
  <c r="K6" i="12"/>
  <c r="F6" i="12"/>
  <c r="Q6" i="12"/>
  <c r="R6" i="12"/>
  <c r="AD6" i="12"/>
  <c r="O6" i="12"/>
  <c r="N6" i="12"/>
  <c r="AB6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K2" authorId="0" shapeId="0" xr:uid="{E02849D4-EAC3-4A38-AA37-3932A187A9E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<sst xmlns="http://schemas.openxmlformats.org/spreadsheetml/2006/main" count="3085" uniqueCount="1030">
  <si>
    <t>Source:</t>
  </si>
  <si>
    <t>LDVs</t>
  </si>
  <si>
    <t>HDVs</t>
  </si>
  <si>
    <t>aircraft</t>
  </si>
  <si>
    <t>rail</t>
  </si>
  <si>
    <t>ships</t>
  </si>
  <si>
    <t>motorbikes</t>
  </si>
  <si>
    <t>BAADTbVT BAU Average Annual Dist Traveled by Vehicle Type</t>
  </si>
  <si>
    <t>Start Year</t>
  </si>
  <si>
    <t>Annual Distance (miles/vehicle)</t>
  </si>
  <si>
    <t>합계</t>
  </si>
  <si>
    <t>전체</t>
  </si>
  <si>
    <t>전국</t>
  </si>
  <si>
    <t>승용차</t>
  </si>
  <si>
    <t>승합차</t>
  </si>
  <si>
    <t>화물차</t>
  </si>
  <si>
    <t>특수차</t>
  </si>
  <si>
    <t>승용차</t>
    <phoneticPr fontId="42" type="noConversion"/>
  </si>
  <si>
    <t>승합차</t>
    <phoneticPr fontId="42" type="noConversion"/>
  </si>
  <si>
    <t>화물차</t>
    <phoneticPr fontId="42" type="noConversion"/>
  </si>
  <si>
    <t>특수차</t>
    <phoneticPr fontId="42" type="noConversion"/>
  </si>
  <si>
    <t>1km</t>
    <phoneticPr fontId="42" type="noConversion"/>
  </si>
  <si>
    <t>passengers</t>
    <phoneticPr fontId="42" type="noConversion"/>
  </si>
  <si>
    <t>freight</t>
    <phoneticPr fontId="42" type="noConversion"/>
  </si>
  <si>
    <t>LDVs</t>
    <phoneticPr fontId="42" type="noConversion"/>
  </si>
  <si>
    <t>HDVs</t>
    <phoneticPr fontId="42" type="noConversion"/>
  </si>
  <si>
    <t>차종별</t>
  </si>
  <si>
    <t>유형별</t>
  </si>
  <si>
    <t>규모별</t>
  </si>
  <si>
    <t>일반형</t>
  </si>
  <si>
    <t>경형</t>
  </si>
  <si>
    <t>소형</t>
  </si>
  <si>
    <t>중형</t>
  </si>
  <si>
    <t>대형</t>
  </si>
  <si>
    <t>다목적형</t>
  </si>
  <si>
    <t>덤프형</t>
  </si>
  <si>
    <t>밴형</t>
  </si>
  <si>
    <t>계</t>
  </si>
  <si>
    <t>&lt; 자동차 등록현황(총 계) &gt;</t>
    <phoneticPr fontId="46" type="noConversion"/>
  </si>
  <si>
    <t>차 종 별</t>
  </si>
  <si>
    <t>총계</t>
  </si>
  <si>
    <t>승용차합계</t>
  </si>
  <si>
    <t>승용일반형 계</t>
  </si>
  <si>
    <t>승용일반형 국산 소계</t>
  </si>
  <si>
    <t>승용일반형 국산 800CC미만</t>
  </si>
  <si>
    <t>승용일반형 국산 1000CC미만</t>
  </si>
  <si>
    <t>승용일반형 국산 1500CC미만</t>
  </si>
  <si>
    <t>승용일반형 국산 2000CC미만</t>
  </si>
  <si>
    <t>승용일반형 국산 2500CC미만</t>
  </si>
  <si>
    <t>승용일반형 국산 3000CC미만</t>
  </si>
  <si>
    <t>승용일반형 국산 3500CC미만</t>
  </si>
  <si>
    <t>승용일반형 국산 4000CC미만</t>
  </si>
  <si>
    <t>승용일반형 국산 4500CC미만</t>
  </si>
  <si>
    <t>승용일반형 국산 5000CC미만</t>
  </si>
  <si>
    <t>승용일반형 국산 5000CC이상</t>
  </si>
  <si>
    <t>승용일반형 국산 저속전기</t>
  </si>
  <si>
    <t>승용일반형 국산 전기</t>
  </si>
  <si>
    <t>승용일반형 외산 소계</t>
  </si>
  <si>
    <t>승용일반형 외산 800CC미만</t>
  </si>
  <si>
    <t>승용일반형 외산 1000CC미만</t>
  </si>
  <si>
    <t>승용일반형 외산 1500CC미만</t>
  </si>
  <si>
    <t>승용일반형 외산 2000CC미만</t>
  </si>
  <si>
    <t>승용일반형 외산 2500CC미만</t>
  </si>
  <si>
    <t>승용일반형 외산 3000CC미만</t>
  </si>
  <si>
    <t>승용일반형 외산 3500CC미만</t>
  </si>
  <si>
    <t>승용일반형 외산 4000CC미만</t>
  </si>
  <si>
    <t>승용일반형 외산 4500CC미만</t>
  </si>
  <si>
    <t>승용일반형 외산 5000CC미만</t>
  </si>
  <si>
    <t>승용일반형 외산 5000CC이상</t>
  </si>
  <si>
    <t>승용일반형 외산 저속전기</t>
  </si>
  <si>
    <t>승용일반형 외산 전기</t>
  </si>
  <si>
    <t>승용겸 화물 계</t>
  </si>
  <si>
    <t>승용겸 화물 1500CC미만</t>
  </si>
  <si>
    <t>승용겸 화물 2000CC미만</t>
  </si>
  <si>
    <t>승용겸 화물 2500CC미만</t>
  </si>
  <si>
    <t>승용겸 화물 3000CC미만</t>
  </si>
  <si>
    <t>승용겸 화물 3500CC미만</t>
  </si>
  <si>
    <t>승용겸 화물 3500CC이상</t>
  </si>
  <si>
    <t>승용겸 화물 저속전기</t>
  </si>
  <si>
    <t>승용겸 화물 전기</t>
  </si>
  <si>
    <t>승용다목적형 계</t>
  </si>
  <si>
    <t>승용다목적형 1500CC미만</t>
  </si>
  <si>
    <t>승용다목적형 2000CC미만</t>
  </si>
  <si>
    <t>승용다목적형 2500CC미만</t>
  </si>
  <si>
    <t>승용다목적형 3000CC미만</t>
  </si>
  <si>
    <t>승용다목적형 3500CC미만</t>
  </si>
  <si>
    <t>승용다목적형 3500CC이상</t>
  </si>
  <si>
    <t>승용다목적형 저속전기</t>
  </si>
  <si>
    <t>승용다목적형 전기</t>
  </si>
  <si>
    <t>승용기타형 계</t>
  </si>
  <si>
    <t>승용기타형 1500CC미만</t>
  </si>
  <si>
    <t>승용기타형 2000CC미만</t>
  </si>
  <si>
    <t>승용기타형 2500CC미만</t>
  </si>
  <si>
    <t>승용기타형 3000CC미만</t>
  </si>
  <si>
    <t>승용기타형 3500CC미만</t>
  </si>
  <si>
    <t>승용기타형 3500CC이상</t>
  </si>
  <si>
    <t>승용기타형 저속전기</t>
  </si>
  <si>
    <t>승용기타형 전기</t>
  </si>
  <si>
    <t>승합차 합계</t>
  </si>
  <si>
    <t>승합일반형 계</t>
  </si>
  <si>
    <t>시내버스</t>
  </si>
  <si>
    <t>시외버스</t>
  </si>
  <si>
    <t>전세버스</t>
  </si>
  <si>
    <t>고속버스</t>
  </si>
  <si>
    <t>농어촌버스</t>
  </si>
  <si>
    <t>마을버스</t>
  </si>
  <si>
    <t>승합일반기타형 계</t>
  </si>
  <si>
    <t>승합일반 15인 이하</t>
  </si>
  <si>
    <t>승합일반 25인 이하</t>
  </si>
  <si>
    <t>승합일반 35인 이하</t>
  </si>
  <si>
    <t>승합일반 50인 이하</t>
  </si>
  <si>
    <t>승합일반 51인 이상</t>
  </si>
  <si>
    <t>승합특수형 계</t>
  </si>
  <si>
    <t>구급차</t>
  </si>
  <si>
    <t>장의차</t>
  </si>
  <si>
    <t>헌혈, 채혈차</t>
  </si>
  <si>
    <t>방송, 보도용차</t>
  </si>
  <si>
    <t>승합피견인형</t>
  </si>
  <si>
    <t>승합특수형 기타</t>
  </si>
  <si>
    <t>화물자동차 합계</t>
  </si>
  <si>
    <t>화물일반형 계</t>
  </si>
  <si>
    <t>화물 픽업형</t>
  </si>
  <si>
    <t>화물카고형 계</t>
  </si>
  <si>
    <t>화물카고형 1톤 이하</t>
  </si>
  <si>
    <t>화물카고형 3톤 이하</t>
  </si>
  <si>
    <t>화물카고형 5톤 미만</t>
  </si>
  <si>
    <t>화물카고형 8톤 미만</t>
  </si>
  <si>
    <t>화물카고형 10톤 미만</t>
  </si>
  <si>
    <t>화물카고형 12톤 미만</t>
  </si>
  <si>
    <t>화물카고형 12톤 이상</t>
  </si>
  <si>
    <t>화물덤프형 계</t>
  </si>
  <si>
    <t>화물덤프형 1톤 이하</t>
  </si>
  <si>
    <t>화물덤프형 5톤 미만</t>
  </si>
  <si>
    <t>화물덤프형 12톤 미만</t>
  </si>
  <si>
    <t>화물덤프형 12톤 이상</t>
  </si>
  <si>
    <t>화물 밴형 계</t>
  </si>
  <si>
    <t>화물밴형 1톤 이하</t>
  </si>
  <si>
    <t>화물밴형 5톤 미만</t>
  </si>
  <si>
    <t>화물밴형 5톤 이상</t>
  </si>
  <si>
    <t>화물특수용도형 계</t>
  </si>
  <si>
    <t>화물특수용도형(청소자)</t>
  </si>
  <si>
    <t>화물특수용도형(노면청소차)</t>
  </si>
  <si>
    <t>화물특수용도형(살수차)</t>
  </si>
  <si>
    <t>화물특수용도형(소방차)</t>
  </si>
  <si>
    <t>화물특수용도형(냉장,냉동차)</t>
  </si>
  <si>
    <t>화물특수용도형(곡물,사료운반)</t>
  </si>
  <si>
    <t>유조차 소계</t>
  </si>
  <si>
    <t>유조차(항공유)</t>
  </si>
  <si>
    <t>유조차(휘발유)</t>
  </si>
  <si>
    <t>유조차(등유, 경유)</t>
  </si>
  <si>
    <t>유조차(방카C유)</t>
  </si>
  <si>
    <t>유조차(기타)</t>
  </si>
  <si>
    <t>탱크로리 소계</t>
  </si>
  <si>
    <t>탱크로리(식수, 음료)</t>
  </si>
  <si>
    <t>탱크로리(압축가스)</t>
  </si>
  <si>
    <t>탱크로리(화공약품)</t>
  </si>
  <si>
    <t>탱크로리(기타)</t>
  </si>
  <si>
    <t>피견인차 소계</t>
  </si>
  <si>
    <t>피견인차(적재함형)</t>
  </si>
  <si>
    <t>피견인차(저상형)</t>
  </si>
  <si>
    <t>피견인차(평판형)</t>
  </si>
  <si>
    <t>피견인차(콘테이너샤시)</t>
  </si>
  <si>
    <t>피견인차(기타)</t>
  </si>
  <si>
    <t>화물특수용도형(기타)</t>
  </si>
  <si>
    <t>특수자동차 합계</t>
  </si>
  <si>
    <t>구난차 계</t>
  </si>
  <si>
    <t>구난차 5톤 이하</t>
  </si>
  <si>
    <t>구난차 10톤 미만</t>
  </si>
  <si>
    <t>구난차 10톤 이상</t>
  </si>
  <si>
    <t>견인차 계</t>
  </si>
  <si>
    <t>견인차 5톤 이하</t>
  </si>
  <si>
    <t>견인차 10톤 미만</t>
  </si>
  <si>
    <t>견인차 10톤 이상</t>
  </si>
  <si>
    <t>특수작업형 계</t>
  </si>
  <si>
    <t>특수작업형(고소작업차)</t>
  </si>
  <si>
    <t>특수작업형(고가사다리소방차)</t>
  </si>
  <si>
    <t>특수작업형(오가크레인)</t>
  </si>
  <si>
    <t>특수작업형(피견인형)</t>
  </si>
  <si>
    <t>특수작업형(기타)</t>
  </si>
  <si>
    <t>승용 LDVs</t>
    <phoneticPr fontId="42" type="noConversion"/>
  </si>
  <si>
    <t>승합 LDVs</t>
    <phoneticPr fontId="42" type="noConversion"/>
  </si>
  <si>
    <t>승용 HDVs</t>
    <phoneticPr fontId="42" type="noConversion"/>
  </si>
  <si>
    <t>승합 HDVs</t>
    <phoneticPr fontId="42" type="noConversion"/>
  </si>
  <si>
    <t>화물 LDVs</t>
    <phoneticPr fontId="42" type="noConversion"/>
  </si>
  <si>
    <t>특수 LDVs</t>
    <phoneticPr fontId="42" type="noConversion"/>
  </si>
  <si>
    <t>화물 HDVs</t>
    <phoneticPr fontId="42" type="noConversion"/>
  </si>
  <si>
    <t>특수 HDVs</t>
    <phoneticPr fontId="42" type="noConversion"/>
  </si>
  <si>
    <t>규모별주행거리_1일주행거리현황(km/대)</t>
  </si>
  <si>
    <t>용도별</t>
  </si>
  <si>
    <t>기타형</t>
  </si>
  <si>
    <t>특수용도형</t>
  </si>
  <si>
    <t>견인형</t>
  </si>
  <si>
    <t>구난형</t>
  </si>
  <si>
    <t>특수작업형</t>
  </si>
  <si>
    <t>규모별 대수</t>
    <phoneticPr fontId="42" type="noConversion"/>
  </si>
  <si>
    <t>조회년월: 2019.12</t>
  </si>
  <si>
    <t>오차율</t>
    <phoneticPr fontId="42" type="noConversion"/>
  </si>
  <si>
    <t>LDV,HDV 합쳐져있음</t>
    <phoneticPr fontId="42" type="noConversion"/>
  </si>
  <si>
    <t>모두 HDV</t>
    <phoneticPr fontId="42" type="noConversion"/>
  </si>
  <si>
    <t>대수</t>
    <phoneticPr fontId="42" type="noConversion"/>
  </si>
  <si>
    <t>모두 LDVs(오차 200대)</t>
    <phoneticPr fontId="42" type="noConversion"/>
  </si>
  <si>
    <t>모두 HDVs</t>
    <phoneticPr fontId="42" type="noConversion"/>
  </si>
  <si>
    <t>주행거리</t>
    <phoneticPr fontId="42" type="noConversion"/>
  </si>
  <si>
    <t>구분</t>
    <phoneticPr fontId="42" type="noConversion"/>
  </si>
  <si>
    <t>1year</t>
    <phoneticPr fontId="42" type="noConversion"/>
  </si>
  <si>
    <t>일반형</t>
    <phoneticPr fontId="42" type="noConversion"/>
  </si>
  <si>
    <t>기타형</t>
    <phoneticPr fontId="42" type="noConversion"/>
  </si>
  <si>
    <t>특수용도용</t>
    <phoneticPr fontId="42" type="noConversion"/>
  </si>
  <si>
    <t>덤프형</t>
    <phoneticPr fontId="42" type="noConversion"/>
  </si>
  <si>
    <t>밴형</t>
    <phoneticPr fontId="42" type="noConversion"/>
  </si>
  <si>
    <t>견인형</t>
    <phoneticPr fontId="42" type="noConversion"/>
  </si>
  <si>
    <t>구난형</t>
    <phoneticPr fontId="42" type="noConversion"/>
  </si>
  <si>
    <t>특수작업형</t>
    <phoneticPr fontId="42" type="noConversion"/>
  </si>
  <si>
    <t>승용차-기타형</t>
    <phoneticPr fontId="42" type="noConversion"/>
  </si>
  <si>
    <t>days</t>
    <phoneticPr fontId="42" type="noConversion"/>
  </si>
  <si>
    <t>1(오차율 확인)</t>
    <phoneticPr fontId="42" type="noConversion"/>
  </si>
  <si>
    <t>승용차-기타 &amp; 승합차-특수용도용처럼 구분이 불확실한 곳은 SYVbT-차종별_등록현황의 수치를 통해 임의 구분</t>
    <phoneticPr fontId="42" type="noConversion"/>
  </si>
  <si>
    <t>LDV,HDV 합쳐져있음: 구급, 장의차를 SYVbT에서는 LDV로 분류(오차 6523대)</t>
    <phoneticPr fontId="42" type="noConversion"/>
  </si>
  <si>
    <t>모두 LDVs(오차 210대)</t>
  </si>
  <si>
    <t>Cal</t>
    <phoneticPr fontId="42" type="noConversion"/>
  </si>
  <si>
    <t>비고</t>
    <phoneticPr fontId="42" type="noConversion"/>
  </si>
  <si>
    <t>https://www.koreascience.or.kr/article/JAKO201022442401158.pdf</t>
    <phoneticPr fontId="42" type="noConversion"/>
  </si>
  <si>
    <t>소계</t>
  </si>
  <si>
    <t/>
  </si>
  <si>
    <t>-</t>
  </si>
  <si>
    <t>Number of Vehicles</t>
  </si>
  <si>
    <t>battery electric vehicle</t>
    <phoneticPr fontId="42" type="noConversion"/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</si>
  <si>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</si>
  <si>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</si>
  <si>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</si>
  <si>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</si>
  <si>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</si>
  <si>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</si>
  <si>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battery electric vehicle</t>
  </si>
  <si>
    <t>인원 (명)</t>
  </si>
  <si>
    <t>SRT</t>
  </si>
  <si>
    <t>pkm/vehicle</t>
    <phoneticPr fontId="42" type="noConversion"/>
  </si>
  <si>
    <t>pmiles/vehicle</t>
    <phoneticPr fontId="42" type="noConversion"/>
  </si>
  <si>
    <t>KTX</t>
  </si>
  <si>
    <t>KTX</t>
    <phoneticPr fontId="42" type="noConversion"/>
  </si>
  <si>
    <t>SRT</t>
    <phoneticPr fontId="42" type="noConversion"/>
  </si>
  <si>
    <t>좌석수</t>
    <phoneticPr fontId="42" type="noConversion"/>
  </si>
  <si>
    <t>차종별(1)</t>
  </si>
  <si>
    <t>차종별(2)</t>
  </si>
  <si>
    <t>2016</t>
  </si>
  <si>
    <t>2017</t>
  </si>
  <si>
    <t>2018</t>
  </si>
  <si>
    <t>기관차</t>
  </si>
  <si>
    <t>디젤 기관차</t>
  </si>
  <si>
    <t>전기기관차</t>
  </si>
  <si>
    <t>증기기관차</t>
  </si>
  <si>
    <t>동차</t>
  </si>
  <si>
    <t>디젤동차</t>
  </si>
  <si>
    <t>전기동차</t>
  </si>
  <si>
    <t>통일호 전기동차</t>
  </si>
  <si>
    <t>간선형 전기동차</t>
  </si>
  <si>
    <t>ITX- 청춘</t>
  </si>
  <si>
    <t>객차</t>
  </si>
  <si>
    <t>발전차</t>
  </si>
  <si>
    <t>화차</t>
  </si>
  <si>
    <t>난방차</t>
  </si>
  <si>
    <t>기중기</t>
  </si>
  <si>
    <t>편성당 량수 구분</t>
    <phoneticPr fontId="42" type="noConversion"/>
  </si>
  <si>
    <t>량</t>
    <phoneticPr fontId="42" type="noConversion"/>
  </si>
  <si>
    <t>KTX 고정수량</t>
    <phoneticPr fontId="42" type="noConversion"/>
  </si>
  <si>
    <t>KTX-산천</t>
    <phoneticPr fontId="42" type="noConversion"/>
  </si>
  <si>
    <t>동차</t>
    <phoneticPr fontId="42" type="noConversion"/>
  </si>
  <si>
    <t>3,4</t>
    <phoneticPr fontId="42" type="noConversion"/>
  </si>
  <si>
    <t>가정치(fixed value)</t>
    <phoneticPr fontId="42" type="noConversion"/>
  </si>
  <si>
    <t>전기동차</t>
    <phoneticPr fontId="42" type="noConversion"/>
  </si>
  <si>
    <t>4,6,8</t>
    <phoneticPr fontId="42" type="noConversion"/>
  </si>
  <si>
    <t>2019 구분별 편성수</t>
    <phoneticPr fontId="42" type="noConversion"/>
  </si>
  <si>
    <t>고속철도</t>
    <phoneticPr fontId="42" type="noConversion"/>
  </si>
  <si>
    <t>디젤기관차</t>
    <phoneticPr fontId="42" type="noConversion"/>
  </si>
  <si>
    <t>전기기관차</t>
    <phoneticPr fontId="42" type="noConversion"/>
  </si>
  <si>
    <t>디젤동차</t>
    <phoneticPr fontId="42" type="noConversion"/>
  </si>
  <si>
    <t>간선형전기동차(ITX-새마을)</t>
    <phoneticPr fontId="42" type="noConversion"/>
  </si>
  <si>
    <t>ITX-청춘(동차)</t>
    <phoneticPr fontId="42" type="noConversion"/>
  </si>
  <si>
    <t>객차</t>
    <phoneticPr fontId="42" type="noConversion"/>
  </si>
  <si>
    <t>발전차</t>
    <phoneticPr fontId="42" type="noConversion"/>
  </si>
  <si>
    <t>화차</t>
    <phoneticPr fontId="42" type="noConversion"/>
  </si>
  <si>
    <t>기중기</t>
    <phoneticPr fontId="42" type="noConversion"/>
  </si>
  <si>
    <t>miles/vehicle</t>
    <phoneticPr fontId="42" type="noConversion"/>
  </si>
  <si>
    <t>항공</t>
  </si>
  <si>
    <t>항공</t>
    <phoneticPr fontId="42" type="noConversion"/>
  </si>
  <si>
    <t>해운</t>
  </si>
  <si>
    <t>해운</t>
    <phoneticPr fontId="42" type="noConversion"/>
  </si>
  <si>
    <t>철도</t>
  </si>
  <si>
    <t>국내</t>
  </si>
  <si>
    <t>국제</t>
  </si>
  <si>
    <t>passenger</t>
    <phoneticPr fontId="42" type="noConversion"/>
  </si>
  <si>
    <t>aircraft</t>
    <phoneticPr fontId="42" type="noConversion"/>
  </si>
  <si>
    <t>rail</t>
    <phoneticPr fontId="42" type="noConversion"/>
  </si>
  <si>
    <t>ships</t>
    <phoneticPr fontId="42" type="noConversion"/>
  </si>
  <si>
    <t>motor</t>
    <phoneticPr fontId="42" type="noConversion"/>
  </si>
  <si>
    <t>freight</t>
    <phoneticPr fontId="42" type="noConversion"/>
  </si>
  <si>
    <t>량</t>
    <phoneticPr fontId="42" type="noConversion"/>
  </si>
  <si>
    <t>가정치(fixed value)</t>
    <phoneticPr fontId="42" type="noConversion"/>
  </si>
  <si>
    <t>passenger</t>
    <phoneticPr fontId="42" type="noConversion"/>
  </si>
  <si>
    <t>고정편성</t>
    <phoneticPr fontId="42" type="noConversion"/>
  </si>
  <si>
    <t>유동편성</t>
    <phoneticPr fontId="42" type="noConversion"/>
  </si>
  <si>
    <t>50% passenger 가정</t>
    <phoneticPr fontId="42" type="noConversion"/>
  </si>
  <si>
    <t>기관차에 객차나 화차를 연결하여 무궁화호, 새누리호나 화물주의 발주량에 따라 유동적으로 화물열차로 이용</t>
    <phoneticPr fontId="42" type="noConversion"/>
  </si>
  <si>
    <t>passenger</t>
  </si>
  <si>
    <t>추정치</t>
    <phoneticPr fontId="42" type="noConversion"/>
  </si>
  <si>
    <t>1 편성당 량수</t>
    <phoneticPr fontId="42" type="noConversion"/>
  </si>
  <si>
    <t>지표별(1)</t>
  </si>
  <si>
    <t>지표별(2)</t>
  </si>
  <si>
    <t>여객수송실적</t>
  </si>
  <si>
    <t>인키로 (인/킬로미터)</t>
  </si>
  <si>
    <t>화물수송실적</t>
  </si>
  <si>
    <t>톤수 (톤)</t>
  </si>
  <si>
    <t>톤키로 (톤/킬로미터)</t>
  </si>
  <si>
    <t>구분(1)(1)</t>
  </si>
  <si>
    <t>구분(2)(1)</t>
  </si>
  <si>
    <t>해운 (인)</t>
  </si>
  <si>
    <t>항공 (인)</t>
  </si>
  <si>
    <t>해운 (인-키로)</t>
  </si>
  <si>
    <t>항공 (인-키로)</t>
  </si>
  <si>
    <t>miles/vehicle</t>
    <phoneticPr fontId="42" type="noConversion"/>
  </si>
  <si>
    <t>passenger 
aircraft</t>
    <phoneticPr fontId="42" type="noConversion"/>
  </si>
  <si>
    <t>passenger
ships</t>
    <phoneticPr fontId="42" type="noConversion"/>
  </si>
  <si>
    <t>freight
ships</t>
    <phoneticPr fontId="42" type="noConversion"/>
  </si>
  <si>
    <t>국내/국제(1)</t>
  </si>
  <si>
    <t>수단별(1)</t>
  </si>
  <si>
    <t>2017. 01</t>
  </si>
  <si>
    <t>2017. 02</t>
  </si>
  <si>
    <t>2017. 03</t>
  </si>
  <si>
    <t>2017. 04</t>
  </si>
  <si>
    <t>2017. 05</t>
  </si>
  <si>
    <t>2017. 06</t>
  </si>
  <si>
    <t>2017. 07</t>
  </si>
  <si>
    <t>2017. 08</t>
  </si>
  <si>
    <t>2017. 09</t>
  </si>
  <si>
    <t>2017. 10</t>
  </si>
  <si>
    <t>2017. 11</t>
  </si>
  <si>
    <t>2017. 12</t>
  </si>
  <si>
    <t>freight
aircraft</t>
    <phoneticPr fontId="42" type="noConversion"/>
  </si>
  <si>
    <t>톤수</t>
    <phoneticPr fontId="42" type="noConversion"/>
  </si>
  <si>
    <t>구분</t>
  </si>
  <si>
    <t>여객(명)</t>
  </si>
  <si>
    <t>여객킬로(Km)</t>
  </si>
  <si>
    <t>화물(톤)</t>
  </si>
  <si>
    <t>화물톤킬로(Km)</t>
  </si>
  <si>
    <t>운항(회)</t>
  </si>
  <si>
    <t>운항킬로(Km)</t>
  </si>
  <si>
    <t>항공사</t>
    <phoneticPr fontId="42" type="noConversion"/>
  </si>
  <si>
    <t>용도</t>
    <phoneticPr fontId="42" type="noConversion"/>
  </si>
  <si>
    <t>기종</t>
    <phoneticPr fontId="42" type="noConversion"/>
  </si>
  <si>
    <t>비행기(수)</t>
    <phoneticPr fontId="42" type="noConversion"/>
  </si>
  <si>
    <t>회전익(수)</t>
    <phoneticPr fontId="42" type="noConversion"/>
  </si>
  <si>
    <t>국내, 국제</t>
    <phoneticPr fontId="42" type="noConversion"/>
  </si>
  <si>
    <t>대한항공</t>
    <phoneticPr fontId="42" type="noConversion"/>
  </si>
  <si>
    <t>여객기</t>
    <phoneticPr fontId="42" type="noConversion"/>
  </si>
  <si>
    <t>B747-400</t>
    <phoneticPr fontId="42" type="noConversion"/>
  </si>
  <si>
    <t>B747-8</t>
    <phoneticPr fontId="42" type="noConversion"/>
  </si>
  <si>
    <t>B777-200/300/300ER</t>
    <phoneticPr fontId="42" type="noConversion"/>
  </si>
  <si>
    <t>B787-9</t>
    <phoneticPr fontId="42" type="noConversion"/>
  </si>
  <si>
    <t>B737-800/900/900ER</t>
    <phoneticPr fontId="42" type="noConversion"/>
  </si>
  <si>
    <t>A330-200/300</t>
    <phoneticPr fontId="42" type="noConversion"/>
  </si>
  <si>
    <t>A380-800</t>
    <phoneticPr fontId="42" type="noConversion"/>
  </si>
  <si>
    <t>BD-500-1A11</t>
    <phoneticPr fontId="42" type="noConversion"/>
  </si>
  <si>
    <t>소계</t>
    <phoneticPr fontId="42" type="noConversion"/>
  </si>
  <si>
    <t>화물기</t>
    <phoneticPr fontId="42" type="noConversion"/>
  </si>
  <si>
    <t>B747-400F</t>
    <phoneticPr fontId="42" type="noConversion"/>
  </si>
  <si>
    <t>B747-8F</t>
    <phoneticPr fontId="42" type="noConversion"/>
  </si>
  <si>
    <t>B777F</t>
    <phoneticPr fontId="42" type="noConversion"/>
  </si>
  <si>
    <t>아시아나항공</t>
    <phoneticPr fontId="42" type="noConversion"/>
  </si>
  <si>
    <t>B777-200</t>
    <phoneticPr fontId="42" type="noConversion"/>
  </si>
  <si>
    <t>B767-300</t>
    <phoneticPr fontId="42" type="noConversion"/>
  </si>
  <si>
    <t>A321-100/200</t>
    <phoneticPr fontId="42" type="noConversion"/>
  </si>
  <si>
    <t>A330-300</t>
    <phoneticPr fontId="42" type="noConversion"/>
  </si>
  <si>
    <t>A320-200</t>
    <phoneticPr fontId="42" type="noConversion"/>
  </si>
  <si>
    <t>A350-900</t>
    <phoneticPr fontId="42" type="noConversion"/>
  </si>
  <si>
    <t>B767-300F</t>
    <phoneticPr fontId="42" type="noConversion"/>
  </si>
  <si>
    <t>제주항공</t>
    <phoneticPr fontId="42" type="noConversion"/>
  </si>
  <si>
    <t>B737-800</t>
    <phoneticPr fontId="42" type="noConversion"/>
  </si>
  <si>
    <t>진에어</t>
    <phoneticPr fontId="42" type="noConversion"/>
  </si>
  <si>
    <t>에어부산</t>
    <phoneticPr fontId="42" type="noConversion"/>
  </si>
  <si>
    <t>A321-200</t>
    <phoneticPr fontId="42" type="noConversion"/>
  </si>
  <si>
    <t>이스타항공</t>
    <phoneticPr fontId="42" type="noConversion"/>
  </si>
  <si>
    <t>B737-8</t>
    <phoneticPr fontId="42" type="noConversion"/>
  </si>
  <si>
    <t>B737-900ER</t>
    <phoneticPr fontId="42" type="noConversion"/>
  </si>
  <si>
    <t>티웨이항공</t>
    <phoneticPr fontId="42" type="noConversion"/>
  </si>
  <si>
    <t>에어서울</t>
    <phoneticPr fontId="42" type="noConversion"/>
  </si>
  <si>
    <t>에어인천</t>
    <phoneticPr fontId="42" type="noConversion"/>
  </si>
  <si>
    <t>B737-400F</t>
    <phoneticPr fontId="42" type="noConversion"/>
  </si>
  <si>
    <t>플라이강원</t>
    <phoneticPr fontId="42" type="noConversion"/>
  </si>
  <si>
    <t>소형</t>
    <phoneticPr fontId="42" type="noConversion"/>
  </si>
  <si>
    <t>코리아익스프레스</t>
    <phoneticPr fontId="42" type="noConversion"/>
  </si>
  <si>
    <t>써니항공</t>
    <phoneticPr fontId="42" type="noConversion"/>
  </si>
  <si>
    <t>에어포항</t>
    <phoneticPr fontId="42" type="noConversion"/>
  </si>
  <si>
    <t>스타항공우주</t>
    <phoneticPr fontId="42" type="noConversion"/>
  </si>
  <si>
    <t>헬리코리아</t>
    <phoneticPr fontId="42" type="noConversion"/>
  </si>
  <si>
    <t>에어필립</t>
    <phoneticPr fontId="42" type="noConversion"/>
  </si>
  <si>
    <t>하이에어</t>
    <phoneticPr fontId="42" type="noConversion"/>
  </si>
  <si>
    <t>운송용소계</t>
    <phoneticPr fontId="42" type="noConversion"/>
  </si>
  <si>
    <t>사용사업</t>
    <phoneticPr fontId="42" type="noConversion"/>
  </si>
  <si>
    <t>홍익항공 등 59개사</t>
    <phoneticPr fontId="42" type="noConversion"/>
  </si>
  <si>
    <t>비사업</t>
    <phoneticPr fontId="42" type="noConversion"/>
  </si>
  <si>
    <t>교육기관</t>
    <phoneticPr fontId="42" type="noConversion"/>
  </si>
  <si>
    <t>보도기관</t>
    <phoneticPr fontId="42" type="noConversion"/>
  </si>
  <si>
    <t>정부기관(국토교통부)</t>
    <phoneticPr fontId="42" type="noConversion"/>
  </si>
  <si>
    <t>국가기관(소방/산림)</t>
    <phoneticPr fontId="42" type="noConversion"/>
  </si>
  <si>
    <t>기타(LG전자 등 18개사)</t>
    <phoneticPr fontId="42" type="noConversion"/>
  </si>
  <si>
    <t>총계</t>
    <phoneticPr fontId="42" type="noConversion"/>
  </si>
  <si>
    <t>소형항공</t>
    <phoneticPr fontId="42" type="noConversion"/>
  </si>
  <si>
    <t>자가용</t>
    <phoneticPr fontId="42" type="noConversion"/>
  </si>
  <si>
    <t>합계</t>
    <phoneticPr fontId="42" type="noConversion"/>
  </si>
  <si>
    <t>비즈니스(비행기)</t>
    <phoneticPr fontId="42" type="noConversion"/>
  </si>
  <si>
    <t>https://www.data.go.kr/data/15061960/fileData.do#layer_data_information</t>
    <phoneticPr fontId="42" type="noConversion"/>
  </si>
  <si>
    <t>https://www.yna.co.kr/view/AKR20120214060851003</t>
    <phoneticPr fontId="42" type="noConversion"/>
  </si>
  <si>
    <t>위 뉴스 기반하여 화물기 기종별 적재용량의 산정</t>
    <phoneticPr fontId="42" type="noConversion"/>
  </si>
  <si>
    <t>result</t>
    <phoneticPr fontId="42" type="noConversion"/>
  </si>
  <si>
    <t>기타</t>
    <phoneticPr fontId="42" type="noConversion"/>
  </si>
  <si>
    <t>freight&amp;
passenger</t>
    <phoneticPr fontId="42" type="noConversion"/>
  </si>
  <si>
    <t>철도총괄지표</t>
    <phoneticPr fontId="42" type="noConversion"/>
  </si>
  <si>
    <t>주행거리(km)</t>
    <phoneticPr fontId="42" type="noConversion"/>
  </si>
  <si>
    <t>주행거리
(가중평균)</t>
    <phoneticPr fontId="42" type="noConversion"/>
  </si>
  <si>
    <t>https://tmacs.ts2020.kr/web/TG/TG200/TG2200/Tg1700_01.jsp?mid=S3079#</t>
    <phoneticPr fontId="42" type="noConversion"/>
  </si>
  <si>
    <t>KOSIS</t>
    <phoneticPr fontId="42" type="noConversion"/>
  </si>
  <si>
    <t>국토교통부_연도별 국내국제항공수송실적</t>
    <phoneticPr fontId="42" type="noConversion"/>
  </si>
  <si>
    <t>https://kosis.kr/statHtml/statHtml.do?orgId=116&amp;tblId=DT_MLTM_1062&amp;conn_path=I3</t>
    <phoneticPr fontId="42" type="noConversion"/>
  </si>
  <si>
    <t>https://kosis.kr/statHtml/statHtml.do?orgId=116&amp;tblId=DT_MLTM_5376&amp;conn_path=I3</t>
    <phoneticPr fontId="42" type="noConversion"/>
  </si>
  <si>
    <t>Page4 Table 4</t>
    <phoneticPr fontId="42" type="noConversion"/>
  </si>
  <si>
    <t>miles</t>
    <phoneticPr fontId="42" type="noConversion"/>
  </si>
  <si>
    <t>용도별, 차종별 구분은 최대한 SYVbT의 구분과 동일하게 사용하고자 함</t>
    <phoneticPr fontId="42" type="noConversion"/>
  </si>
  <si>
    <t>DV-km의 화물차-밴형, 특수차-구난형은 오차가 적어 LDVs로 가정</t>
    <phoneticPr fontId="42" type="noConversion"/>
  </si>
  <si>
    <t>https://www.ktdb.go.kr/www/selectPblcteWebList.do?key=39&amp;pageUnit=10&amp;pageIndex=1&amp;searchCnd=all</t>
    <phoneticPr fontId="42" type="noConversion"/>
  </si>
  <si>
    <t>:assumption value</t>
    <phoneticPr fontId="42" type="noConversion"/>
  </si>
  <si>
    <t>ton miles/vehicle</t>
    <phoneticPr fontId="42" type="noConversion"/>
  </si>
  <si>
    <t>ton km/vehicle</t>
    <phoneticPr fontId="42" type="noConversion"/>
  </si>
  <si>
    <t>ton</t>
    <phoneticPr fontId="42" type="noConversion"/>
  </si>
  <si>
    <t>Quick delivery service</t>
  </si>
  <si>
    <t>General commutation</t>
  </si>
  <si>
    <t>General delivery service</t>
  </si>
  <si>
    <t>Sport &amp; leisure</t>
  </si>
  <si>
    <t>화물기 기종당 적재용량(ton)</t>
    <phoneticPr fontId="42" type="noConversion"/>
  </si>
  <si>
    <t>ton-km</t>
    <phoneticPr fontId="42" type="noConversion"/>
  </si>
  <si>
    <t>person</t>
    <phoneticPr fontId="42" type="noConversion"/>
  </si>
  <si>
    <t>person-km</t>
    <phoneticPr fontId="42" type="noConversion"/>
  </si>
  <si>
    <t>seat</t>
    <phoneticPr fontId="42" type="noConversion"/>
  </si>
  <si>
    <t>ton per ship</t>
    <phoneticPr fontId="42" type="noConversion"/>
  </si>
  <si>
    <t>구분</t>
    <phoneticPr fontId="42" type="noConversion"/>
  </si>
  <si>
    <t>항공톤킬로</t>
  </si>
  <si>
    <t>해운톤</t>
    <phoneticPr fontId="42" type="noConversion"/>
  </si>
  <si>
    <t>항공톤</t>
    <phoneticPr fontId="42" type="noConversion"/>
  </si>
  <si>
    <t>해운톤킬로/해운톤</t>
    <phoneticPr fontId="42" type="noConversion"/>
  </si>
  <si>
    <t>1000 ton</t>
    <phoneticPr fontId="42" type="noConversion"/>
  </si>
  <si>
    <t>million ton killo</t>
    <phoneticPr fontId="42" type="noConversion"/>
  </si>
  <si>
    <t>국제</t>
    <phoneticPr fontId="42" type="noConversion"/>
  </si>
  <si>
    <t>해운톤</t>
    <phoneticPr fontId="42" type="noConversion"/>
  </si>
  <si>
    <t>해운톤킬로</t>
    <phoneticPr fontId="42" type="noConversion"/>
  </si>
  <si>
    <t>국내</t>
    <phoneticPr fontId="42" type="noConversion"/>
  </si>
  <si>
    <t>합계</t>
    <phoneticPr fontId="42" type="noConversion"/>
  </si>
  <si>
    <t>해운톤킬로</t>
    <phoneticPr fontId="42" type="noConversion"/>
  </si>
  <si>
    <t>화물</t>
    <phoneticPr fontId="42" type="noConversion"/>
  </si>
  <si>
    <t>여객</t>
    <phoneticPr fontId="42" type="noConversion"/>
  </si>
  <si>
    <t>여객(1000인)</t>
    <phoneticPr fontId="42" type="noConversion"/>
  </si>
  <si>
    <t>백만인킬로</t>
    <phoneticPr fontId="42" type="noConversion"/>
  </si>
  <si>
    <t>화물톤(1000 ton)</t>
    <phoneticPr fontId="42" type="noConversion"/>
  </si>
  <si>
    <t>화물톤킬로</t>
    <phoneticPr fontId="42" type="noConversion"/>
  </si>
  <si>
    <t>해운, 항공 톤킬로합계</t>
    <phoneticPr fontId="42" type="noConversion"/>
  </si>
  <si>
    <t>1995. 12</t>
  </si>
  <si>
    <t>1996. 12</t>
  </si>
  <si>
    <t>1997. 12</t>
  </si>
  <si>
    <t>1998. 12</t>
  </si>
  <si>
    <t>1999. 12</t>
  </si>
  <si>
    <t>2000. 12</t>
  </si>
  <si>
    <t>2001. 12</t>
  </si>
  <si>
    <t>2002. 12</t>
  </si>
  <si>
    <t>2003. 12</t>
  </si>
  <si>
    <t>2004. 12</t>
  </si>
  <si>
    <t>2005. 12</t>
  </si>
  <si>
    <t>2006. 01</t>
  </si>
  <si>
    <t>2006. 02</t>
  </si>
  <si>
    <t>2006. 03</t>
  </si>
  <si>
    <t>2006. 04</t>
  </si>
  <si>
    <t>2006. 05</t>
  </si>
  <si>
    <t>2006. 06</t>
  </si>
  <si>
    <t>2006. 07</t>
  </si>
  <si>
    <t>2006. 08</t>
  </si>
  <si>
    <t>2006. 09</t>
  </si>
  <si>
    <t>2006. 10</t>
  </si>
  <si>
    <t>2006. 11</t>
  </si>
  <si>
    <t>2006. 12</t>
  </si>
  <si>
    <t>2007. 01</t>
  </si>
  <si>
    <t>2007. 02</t>
  </si>
  <si>
    <t>2007. 03</t>
  </si>
  <si>
    <t>2007. 04</t>
  </si>
  <si>
    <t>2007. 05</t>
  </si>
  <si>
    <t>2007. 06</t>
  </si>
  <si>
    <t>2007. 07</t>
  </si>
  <si>
    <t>2007. 08</t>
  </si>
  <si>
    <t>2007. 09</t>
  </si>
  <si>
    <t>2007. 10</t>
  </si>
  <si>
    <t>2007. 11</t>
  </si>
  <si>
    <t>2007. 12</t>
  </si>
  <si>
    <t>2008. 01</t>
  </si>
  <si>
    <t>2008. 02</t>
  </si>
  <si>
    <t>2008. 03</t>
  </si>
  <si>
    <t>2008. 04</t>
  </si>
  <si>
    <t>2008. 05</t>
  </si>
  <si>
    <t>2008. 06</t>
  </si>
  <si>
    <t>2008. 07</t>
  </si>
  <si>
    <t>2008. 08</t>
  </si>
  <si>
    <t>2008. 09</t>
  </si>
  <si>
    <t>2008. 10</t>
  </si>
  <si>
    <t>2008. 11</t>
  </si>
  <si>
    <t>2008. 12</t>
  </si>
  <si>
    <t>2009. 01</t>
  </si>
  <si>
    <t>2009. 02</t>
  </si>
  <si>
    <t>2009. 03</t>
  </si>
  <si>
    <t>2009. 04</t>
  </si>
  <si>
    <t>2009. 05</t>
  </si>
  <si>
    <t>2009. 06</t>
  </si>
  <si>
    <t>2009. 07</t>
  </si>
  <si>
    <t>2009. 08</t>
  </si>
  <si>
    <t>2009. 09</t>
  </si>
  <si>
    <t>2009. 10</t>
  </si>
  <si>
    <t>2009. 11</t>
  </si>
  <si>
    <t>2009. 12</t>
  </si>
  <si>
    <t>2010. 01</t>
  </si>
  <si>
    <t>2010. 02</t>
  </si>
  <si>
    <t>2010. 03</t>
  </si>
  <si>
    <t>2010. 04</t>
  </si>
  <si>
    <t>2010. 05</t>
  </si>
  <si>
    <t>2010. 06</t>
  </si>
  <si>
    <t>2010. 07</t>
  </si>
  <si>
    <t>2010. 08</t>
  </si>
  <si>
    <t>2010. 09</t>
  </si>
  <si>
    <t>2010. 10</t>
  </si>
  <si>
    <t>2010. 11</t>
  </si>
  <si>
    <t>2010. 12</t>
  </si>
  <si>
    <t>2011. 01</t>
  </si>
  <si>
    <t>2011. 02</t>
  </si>
  <si>
    <t>2011. 03</t>
  </si>
  <si>
    <t>2011. 04</t>
  </si>
  <si>
    <t>2011. 05</t>
  </si>
  <si>
    <t>2011. 06</t>
  </si>
  <si>
    <t>2011. 07</t>
  </si>
  <si>
    <t>2011. 08</t>
  </si>
  <si>
    <t>2011. 09</t>
  </si>
  <si>
    <t>2011. 10</t>
  </si>
  <si>
    <t>2011. 11</t>
  </si>
  <si>
    <t>2011. 12</t>
  </si>
  <si>
    <t>2012. 01</t>
  </si>
  <si>
    <t>2012. 02</t>
  </si>
  <si>
    <t>2012. 03</t>
  </si>
  <si>
    <t>2012. 04</t>
  </si>
  <si>
    <t>2012. 05</t>
  </si>
  <si>
    <t>2012. 06</t>
  </si>
  <si>
    <t>2012. 07</t>
  </si>
  <si>
    <t>2012. 08</t>
  </si>
  <si>
    <t>2012. 09</t>
  </si>
  <si>
    <t>2012. 10</t>
  </si>
  <si>
    <t>2012. 11</t>
  </si>
  <si>
    <t>2012. 12</t>
  </si>
  <si>
    <t>2013. 01</t>
  </si>
  <si>
    <t>2013. 02</t>
  </si>
  <si>
    <t>2013. 03</t>
  </si>
  <si>
    <t>2013. 04</t>
  </si>
  <si>
    <t>2013. 05</t>
  </si>
  <si>
    <t>2013. 06</t>
  </si>
  <si>
    <t>2013. 07</t>
  </si>
  <si>
    <t>2013. 08</t>
  </si>
  <si>
    <t>2013. 09</t>
  </si>
  <si>
    <t>2013. 10</t>
  </si>
  <si>
    <t>2013. 11</t>
  </si>
  <si>
    <t>2013. 12</t>
  </si>
  <si>
    <t>2014. 01</t>
  </si>
  <si>
    <t>2014. 02</t>
  </si>
  <si>
    <t>2014. 03</t>
  </si>
  <si>
    <t>2014. 04</t>
  </si>
  <si>
    <t>2014. 05</t>
  </si>
  <si>
    <t>2014. 06</t>
  </si>
  <si>
    <t>2014. 07</t>
  </si>
  <si>
    <t>2014. 08</t>
  </si>
  <si>
    <t>2014. 09</t>
  </si>
  <si>
    <t>2014. 10</t>
  </si>
  <si>
    <t>2014. 11</t>
  </si>
  <si>
    <t>2014. 12</t>
  </si>
  <si>
    <t>2015. 01</t>
  </si>
  <si>
    <t>2015. 02</t>
  </si>
  <si>
    <t>2015. 03</t>
  </si>
  <si>
    <t>2015. 04</t>
  </si>
  <si>
    <t>2015. 05</t>
  </si>
  <si>
    <t>2015. 06</t>
  </si>
  <si>
    <t>2015. 07</t>
  </si>
  <si>
    <t>2015. 08</t>
  </si>
  <si>
    <t>2015. 09</t>
  </si>
  <si>
    <t>2015. 10</t>
  </si>
  <si>
    <t>2015. 11</t>
  </si>
  <si>
    <t>2015. 12</t>
  </si>
  <si>
    <t>2016. 01</t>
  </si>
  <si>
    <t>2016. 02</t>
  </si>
  <si>
    <t>2016. 03</t>
  </si>
  <si>
    <t>2016. 04</t>
  </si>
  <si>
    <t>2016. 05</t>
  </si>
  <si>
    <t>2016. 06</t>
  </si>
  <si>
    <t>2016. 07</t>
  </si>
  <si>
    <t>2016. 08</t>
  </si>
  <si>
    <t>2016. 09</t>
  </si>
  <si>
    <t>2016. 10</t>
  </si>
  <si>
    <t>2016. 11</t>
  </si>
  <si>
    <t>2016. 12</t>
  </si>
  <si>
    <t>공로</t>
  </si>
  <si>
    <t>항공</t>
    <phoneticPr fontId="42" type="noConversion"/>
  </si>
  <si>
    <t>해운</t>
    <phoneticPr fontId="42" type="noConversion"/>
  </si>
  <si>
    <r>
      <t>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맑은 고딕"/>
        <family val="3"/>
        <charset val="129"/>
        <scheme val="minor"/>
      </rPr>
      <t>국제</t>
    </r>
    <r>
      <rPr>
        <b/>
        <sz val="11"/>
        <color rgb="FFFF0000"/>
        <rFont val="맑은 고딕"/>
        <family val="3"/>
        <charset val="129"/>
        <scheme val="minor"/>
      </rPr>
      <t>여객</t>
    </r>
    <r>
      <rPr>
        <b/>
        <sz val="11"/>
        <color theme="1"/>
        <rFont val="맑은 고딕"/>
        <family val="3"/>
        <charset val="129"/>
        <scheme val="minor"/>
      </rPr>
      <t xml:space="preserve"> </t>
    </r>
    <r>
      <rPr>
        <b/>
        <sz val="11"/>
        <color rgb="FFFF0000"/>
        <rFont val="맑은 고딕"/>
        <family val="3"/>
        <charset val="129"/>
        <scheme val="minor"/>
      </rPr>
      <t>연도별</t>
    </r>
    <r>
      <rPr>
        <b/>
        <sz val="11"/>
        <color theme="1"/>
        <rFont val="맑은 고딕"/>
        <family val="3"/>
        <charset val="129"/>
        <scheme val="minor"/>
      </rPr>
      <t xml:space="preserve"> 수송수단별</t>
    </r>
    <phoneticPr fontId="42" type="noConversion"/>
  </si>
  <si>
    <r>
      <t xml:space="preserve">2017 </t>
    </r>
    <r>
      <rPr>
        <b/>
        <sz val="11"/>
        <color rgb="FFFF0000"/>
        <rFont val="맑은 고딕"/>
        <family val="3"/>
        <charset val="129"/>
        <scheme val="minor"/>
      </rPr>
      <t>화물수(ton)</t>
    </r>
    <r>
      <rPr>
        <b/>
        <sz val="11"/>
        <color theme="1"/>
        <rFont val="맑은 고딕"/>
        <family val="3"/>
        <charset val="129"/>
        <scheme val="minor"/>
      </rPr>
      <t xml:space="preserve"> 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맑은 고딕"/>
        <family val="3"/>
        <charset val="129"/>
        <scheme val="minor"/>
      </rPr>
      <t xml:space="preserve">국제화물 </t>
    </r>
    <r>
      <rPr>
        <b/>
        <sz val="11"/>
        <color rgb="FFFF0000"/>
        <rFont val="맑은 고딕"/>
        <family val="3"/>
        <charset val="129"/>
        <scheme val="minor"/>
      </rPr>
      <t>월별</t>
    </r>
    <r>
      <rPr>
        <b/>
        <sz val="11"/>
        <color theme="1"/>
        <rFont val="맑은 고딕"/>
        <family val="3"/>
        <charset val="129"/>
        <scheme val="minor"/>
      </rPr>
      <t xml:space="preserve"> 수송수단별</t>
    </r>
    <phoneticPr fontId="42" type="noConversion"/>
  </si>
  <si>
    <r>
      <t xml:space="preserve">2017 </t>
    </r>
    <r>
      <rPr>
        <b/>
        <sz val="11"/>
        <color rgb="FFFF0000"/>
        <rFont val="맑은 고딕"/>
        <family val="3"/>
        <charset val="129"/>
        <scheme val="minor"/>
      </rPr>
      <t>화물수(ton)</t>
    </r>
    <r>
      <rPr>
        <b/>
        <sz val="11"/>
        <color theme="1"/>
        <rFont val="맑은 고딕"/>
        <family val="3"/>
        <charset val="129"/>
        <scheme val="minor"/>
      </rPr>
      <t xml:space="preserve"> 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맑은 고딕"/>
        <family val="3"/>
        <charset val="129"/>
        <scheme val="minor"/>
      </rPr>
      <t xml:space="preserve">국제화물 </t>
    </r>
    <r>
      <rPr>
        <b/>
        <sz val="11"/>
        <color rgb="FFFF0000"/>
        <rFont val="맑은 고딕"/>
        <family val="3"/>
        <charset val="129"/>
        <scheme val="minor"/>
      </rPr>
      <t>연간</t>
    </r>
    <r>
      <rPr>
        <b/>
        <sz val="11"/>
        <color theme="1"/>
        <rFont val="맑은 고딕"/>
        <family val="3"/>
        <charset val="129"/>
        <scheme val="minor"/>
      </rPr>
      <t xml:space="preserve"> 수송수단별</t>
    </r>
    <phoneticPr fontId="42" type="noConversion"/>
  </si>
  <si>
    <t>http://www.keei.re.kr/keei/download/FFS2018.pdf</t>
    <phoneticPr fontId="42" type="noConversion"/>
  </si>
  <si>
    <t>Page 133-137</t>
    <phoneticPr fontId="42" type="noConversion"/>
  </si>
  <si>
    <t>파란글씨는 추정치</t>
    <phoneticPr fontId="42" type="noConversion"/>
  </si>
  <si>
    <t>DV-km의 데이터는 LDVs, HDVs 구분이 되어 있지 않음</t>
    <phoneticPr fontId="42" type="noConversion"/>
  </si>
  <si>
    <t>이 시트의 목적은 LDVs, HDVs 구분</t>
    <phoneticPr fontId="42" type="noConversion"/>
  </si>
  <si>
    <t>LDVs, HDVs를 나누기 위해선 별도의 규모별 대수별 데이터가 필요</t>
    <phoneticPr fontId="42" type="noConversion"/>
  </si>
  <si>
    <t>이 때, 오차율은 DV-km의 실제 평균 데이터(ex, E6)와 규모별 대수를 적용시킨 가중평균 데이터간 오차를 보여줌</t>
    <phoneticPr fontId="42" type="noConversion"/>
  </si>
  <si>
    <t>다중 가중평균을 통해 result를 도출</t>
    <phoneticPr fontId="42" type="noConversion"/>
  </si>
  <si>
    <t>Notes</t>
  </si>
  <si>
    <t>Notes</t>
    <phoneticPr fontId="42" type="noConversion"/>
  </si>
  <si>
    <t>Page 118, 119</t>
    <phoneticPr fontId="42" type="noConversion"/>
  </si>
  <si>
    <t>조회기간 : 2009.01 ~ 2009.12, 여객 : 전체, 화물 : 전체, 항공사 : 전체, 운항 : 전체, 노선 : 전체, 여객화물 : 전체</t>
  </si>
  <si>
    <t>항공사명</t>
  </si>
  <si>
    <t>공급(석)</t>
  </si>
  <si>
    <t>운항(편)</t>
  </si>
  <si>
    <t>전체 합계</t>
  </si>
  <si>
    <t>국적사 계</t>
  </si>
  <si>
    <t>대한항공(KAL)</t>
  </si>
  <si>
    <t>아시아나항공(AAR)</t>
  </si>
  <si>
    <t>제주항공(JJA)</t>
  </si>
  <si>
    <t>진에어(JNA)</t>
  </si>
  <si>
    <t>에어부산(ABL)</t>
  </si>
  <si>
    <t>이스타항공(ESR)</t>
  </si>
  <si>
    <t>외항사 계</t>
  </si>
  <si>
    <t>JP EXPRESS(AJV)</t>
  </si>
  <si>
    <t>ULS화물항공(KZU)</t>
  </si>
  <si>
    <t>가루다인도네시아(GIA)</t>
  </si>
  <si>
    <t>고려항공(KOR)</t>
  </si>
  <si>
    <t>그레이트월항공(장성항공)(GWL)</t>
  </si>
  <si>
    <t>네덜란드항공(KLM)</t>
  </si>
  <si>
    <t>노스웨스트항공(NWA)</t>
  </si>
  <si>
    <t>델타항공(DAL)</t>
  </si>
  <si>
    <t>독일화물항공(ACX)</t>
  </si>
  <si>
    <t>러시아항공(AFL)</t>
  </si>
  <si>
    <t>루프트한자항공(독일항공)(DLH)</t>
  </si>
  <si>
    <t>루프트한자화물항공(독일화물항공)(GEC)</t>
  </si>
  <si>
    <t>만다린항공(MDA)</t>
  </si>
  <si>
    <t>말레이시아항공(MAS)</t>
  </si>
  <si>
    <t>몽골항공(MGL)</t>
  </si>
  <si>
    <t>미국남부항공(SOO)</t>
  </si>
  <si>
    <t>베트남항공(HVN)</t>
  </si>
  <si>
    <t>볼가화물항공(VDA)</t>
  </si>
  <si>
    <t>부흥항공(TNA)</t>
  </si>
  <si>
    <t>블라디보스톡항공(VLK)</t>
  </si>
  <si>
    <t>비즈니스에어(BCC)</t>
  </si>
  <si>
    <t>사우디항공(SVA)</t>
  </si>
  <si>
    <t>산동항공(CDG)</t>
  </si>
  <si>
    <t>상해항공(CSH)</t>
  </si>
  <si>
    <t>세부퍼시픽항공(CEB)</t>
  </si>
  <si>
    <t>센튜리온항공화물(CWC)</t>
  </si>
  <si>
    <t>스타플라이어항공(SFJ)</t>
  </si>
  <si>
    <t>시베리아항공(SBI)</t>
  </si>
  <si>
    <t>싱가포르항공화물(SQC)</t>
  </si>
  <si>
    <t>싱가폴항공(SIA)</t>
  </si>
  <si>
    <t>아비아콘 지토트랜스(AZS)</t>
  </si>
  <si>
    <t>아에로플로트 카고(RCF)</t>
  </si>
  <si>
    <t>아틀라스화물항공(GTI)</t>
  </si>
  <si>
    <t>안토노프항공(ADB)</t>
  </si>
  <si>
    <t>애비언트항공(SMJ)</t>
  </si>
  <si>
    <t>야쿠티아항공(SYL)</t>
  </si>
  <si>
    <t>양쯔강항공(수파르나항공)(YZR)</t>
  </si>
  <si>
    <t>에미레이트항공(UAE)</t>
  </si>
  <si>
    <t>에바항공(장영항공)(EVA)</t>
  </si>
  <si>
    <t>에버그린화물항공(EIA)</t>
  </si>
  <si>
    <t>에어마카오(AMU)</t>
  </si>
  <si>
    <t>에어브리지화물항공(ABW)</t>
  </si>
  <si>
    <t>에어스타즈에어라인항공(ASE)</t>
  </si>
  <si>
    <t>에어아스타나항공(KZR)</t>
  </si>
  <si>
    <t>에어칼린(ACI)</t>
  </si>
  <si>
    <t>에어캐나다(ACA)</t>
  </si>
  <si>
    <t>에어홍콩화물항공(AHK)</t>
  </si>
  <si>
    <t>엠치에스항공(SUM)</t>
  </si>
  <si>
    <t>오로라항공(SHU)</t>
  </si>
  <si>
    <t>우즈베키스탄항공(UZB)</t>
  </si>
  <si>
    <t>월드항공(WOA)</t>
  </si>
  <si>
    <t>유나이티드항공(UAL)</t>
  </si>
  <si>
    <t>유니항공(UIA)</t>
  </si>
  <si>
    <t>유피에스화물항공(UPS)</t>
  </si>
  <si>
    <t>이란항공(IRA)</t>
  </si>
  <si>
    <t>일본트랜스오션항공(JTA)</t>
  </si>
  <si>
    <t>일본항공(JAL)</t>
  </si>
  <si>
    <t>일본화물항공(NCA)</t>
  </si>
  <si>
    <t>전일본항공(ANA)</t>
  </si>
  <si>
    <t>제이드화물항공(JAE)</t>
  </si>
  <si>
    <t>중국국제항공(CCA)</t>
  </si>
  <si>
    <t>중국남방항공(CSN)</t>
  </si>
  <si>
    <t>중국동방항공(CES)</t>
  </si>
  <si>
    <t>중국심천항공(CSZ)</t>
  </si>
  <si>
    <t>중국우정항공(CYZ)</t>
  </si>
  <si>
    <t>중국하문항공(CXA)</t>
  </si>
  <si>
    <t>중국화물항공(CKK)</t>
  </si>
  <si>
    <t>중화항공(CAL)</t>
  </si>
  <si>
    <t>카고룩스화물항공(CLX)</t>
  </si>
  <si>
    <t>카타르항공(QTR)</t>
  </si>
  <si>
    <t>칼리타화물항공(CKS)</t>
  </si>
  <si>
    <t>캐세이퍼시픽항공(CPA)</t>
  </si>
  <si>
    <t>케세이드래곤항공(HDA)</t>
  </si>
  <si>
    <t>타이항공(THA)</t>
  </si>
  <si>
    <t>터키항공(THY)</t>
  </si>
  <si>
    <t>트랜스아비아엑스포트화물항공(TXC)</t>
  </si>
  <si>
    <t>페덱스화물항공(FDX)</t>
  </si>
  <si>
    <t>폴라에어카고(PAC)</t>
  </si>
  <si>
    <t>폴렛화물항공(POT)</t>
  </si>
  <si>
    <t>프랑스항공(AFR)</t>
  </si>
  <si>
    <t>핀란드항공(FIN)</t>
  </si>
  <si>
    <t>필리핀에어아시아(EZD)</t>
  </si>
  <si>
    <t>필리핀항공(PAL)</t>
  </si>
  <si>
    <t>하이난항공(CHH)</t>
  </si>
  <si>
    <t>홍콩익스프레스(HKE)</t>
  </si>
  <si>
    <t>조회기간 : 2010.01 ~ 2010.12, 여객 : 전체, 화물 : 전체, 항공사 : 전체, 운항 : 전체, 노선 : 전체, 여객화물 : 전체</t>
  </si>
  <si>
    <t>티웨이항공(TWB)</t>
  </si>
  <si>
    <t>224th Flight Unit(TTF)</t>
  </si>
  <si>
    <t>사천항공(CSC)</t>
  </si>
  <si>
    <t>시엘로스항공(CIU)</t>
  </si>
  <si>
    <t>에어로로직(BOX)</t>
  </si>
  <si>
    <t>에어아시아엑스(XAX)</t>
  </si>
  <si>
    <t>에어재팬화물항공(AJX)</t>
  </si>
  <si>
    <t>에티하드항공(ETD)</t>
  </si>
  <si>
    <t>오리엔트타이항공(OEA)</t>
  </si>
  <si>
    <t>인도항공(AIC)</t>
  </si>
  <si>
    <t>코리아익스프레스에어(KEA)</t>
  </si>
  <si>
    <t>호주항공(콴타스항공)(QFA)</t>
  </si>
  <si>
    <t>조회기간 : 2011.01 ~ 2011.12, 여객 : 전체, 화물 : 전체, 항공사 : 전체, 운항 : 전체, 노선 : 전체, 여객화물 : 전체</t>
  </si>
  <si>
    <t>그랜드스타카고(은하)(GSC)</t>
  </si>
  <si>
    <t>노르딕글로벌항공(NGB)</t>
  </si>
  <si>
    <t>메가몰디브항공(MEG)</t>
  </si>
  <si>
    <t>메나에어로스페이스(MEN)</t>
  </si>
  <si>
    <t>스카이앙코르항공(SWM)</t>
  </si>
  <si>
    <t>아스트라이오스항공(AEU)</t>
  </si>
  <si>
    <t>와모스 항공(PLM)</t>
  </si>
  <si>
    <t>컨티넨탈항공(COA)</t>
  </si>
  <si>
    <t>타롬항공(ROT)</t>
  </si>
  <si>
    <t>톤레삽항공(TSP)</t>
  </si>
  <si>
    <t>하와이안항공(HAL)</t>
  </si>
  <si>
    <t>조회기간 : 2012.01 ~ 2012.12, 여객 : 전체, 화물 : 전체, 항공사 : 전체, 운항 : 전체, 노선 : 전체, 여객화물 : 전체</t>
  </si>
  <si>
    <t>U에어라인(ULG)</t>
  </si>
  <si>
    <t>몽골리안항공(MML)</t>
  </si>
  <si>
    <t>바닐라항공(VNL)</t>
  </si>
  <si>
    <t>브루나이항공(RBA)</t>
  </si>
  <si>
    <t>실크웨이(AZQ)</t>
  </si>
  <si>
    <t>암스트롱항공(ARQ)</t>
  </si>
  <si>
    <t>에어비쉬켁(EAA)</t>
  </si>
  <si>
    <t>에어아시아 재팬(WAJ)</t>
  </si>
  <si>
    <t>영국항공(BAW)</t>
  </si>
  <si>
    <t>원동항공(FEA)</t>
  </si>
  <si>
    <t>천진항공(GCR)</t>
  </si>
  <si>
    <t>피씨에어(PCA)</t>
  </si>
  <si>
    <t>피치항공(APJ)</t>
  </si>
  <si>
    <t>하이플라이(HFY)</t>
  </si>
  <si>
    <t>조회기간 : 2013.01 ~ 2013.12, 여객 : 전체, 화물 : 전체, 항공사 : 전체, 운항 : 전체, 노선 : 전체, 여객화물 : 전체</t>
  </si>
  <si>
    <t>에어인천(AIH)</t>
  </si>
  <si>
    <t>C.A.L 화물항공(ICL)</t>
  </si>
  <si>
    <t>다이나믹항공(DYA)</t>
  </si>
  <si>
    <t>라오항공(LAO)</t>
  </si>
  <si>
    <t>로얄항공(ABG)</t>
  </si>
  <si>
    <t>모터-시크항공(MSI)</t>
  </si>
  <si>
    <t>북경수도항공(CBJ)</t>
  </si>
  <si>
    <t>비엣젯항공(VJC)</t>
  </si>
  <si>
    <t>스쿠트항공(SCO)</t>
  </si>
  <si>
    <t>아메리칸항공(AAL)</t>
  </si>
  <si>
    <t>에티오피안항공(ETH)</t>
  </si>
  <si>
    <t>우크라이나에어라인(UKL)</t>
  </si>
  <si>
    <t>이란아세만항공(IRC)</t>
  </si>
  <si>
    <t>제트아시아항공(JAA)</t>
  </si>
  <si>
    <t>중국길상항공(준야오항공)(DKH)</t>
  </si>
  <si>
    <t>중국순풍항공(CSS)</t>
  </si>
  <si>
    <t>체코항공(CSA)</t>
  </si>
  <si>
    <t>춘추항공(CQH)</t>
  </si>
  <si>
    <t>조회기간 : 2014.01 ~ 2014.12, 여객 : 전체, 화물 : 전체, 항공사 : 전체, 운항 : 전체, 노선 : 전체, 여객화물 : 전체</t>
  </si>
  <si>
    <t>마한 항공(IRM)</t>
  </si>
  <si>
    <t>미얀마국제항공(MMA)</t>
  </si>
  <si>
    <t>실크에어(SLK)</t>
  </si>
  <si>
    <t>실크웨이웨스트(AZG)</t>
  </si>
  <si>
    <t>아시아아틀란틱항공(AAQ)</t>
  </si>
  <si>
    <t>알이탈리아항공(AZA)</t>
  </si>
  <si>
    <t>오케이항공(OKA)</t>
  </si>
  <si>
    <t>타이에어아시아엑스(TAX)</t>
  </si>
  <si>
    <t>홍콩항공(CRK)</t>
  </si>
  <si>
    <t>조회기간 : 2015.01 ~ 2015.12, 여객 : 전체, 화물 : 전체, 항공사 : 전체, 운항 : 전체, 노선 : 전체, 여객화물 : 전체</t>
  </si>
  <si>
    <t>V 에어(VAX)</t>
  </si>
  <si>
    <t>녹스쿠트항공(NCT)</t>
  </si>
  <si>
    <t>럭키항공(LKE)</t>
  </si>
  <si>
    <t>로얄크메르항공(RKH)</t>
  </si>
  <si>
    <t>실크웨이 이탈리아(CSW)</t>
  </si>
  <si>
    <t>아이슬란드항공(ICE)</t>
  </si>
  <si>
    <t>웨스턴글로벌항공(WGN)</t>
  </si>
  <si>
    <t>캄보디아앙코르항공(KHV)</t>
  </si>
  <si>
    <t>조회기간 : 2016.01 ~ 2016.12, 여객 : 전체, 화물 : 전체, 항공사 : 전체, 운항 : 전체, 노선 : 전체, 여객화물 : 전체</t>
  </si>
  <si>
    <t>에어서울(ASV)</t>
  </si>
  <si>
    <t>내셔널항공(NCR)</t>
  </si>
  <si>
    <t>스카이리스항공(KYE)</t>
  </si>
  <si>
    <t>씨에어(SGD)</t>
  </si>
  <si>
    <t>아비아스타-투 화물항공(TUP)</t>
  </si>
  <si>
    <t>젯스타퍼시픽항공(PIC)</t>
  </si>
  <si>
    <t>중국국제항공화물(CAO)</t>
  </si>
  <si>
    <t>타이거에어 대만(TTW)</t>
  </si>
  <si>
    <t>팬퍼시픽항공(AAV)</t>
  </si>
  <si>
    <t>폴란드항공(LOT)</t>
  </si>
  <si>
    <t>조회기간 : 2017.01 ~ 2017.12, 여객 : 전체, 화물 : 전체, 항공사 : 전체, 운항 : 전체, 노선 : 전체, 여객화물 : 전체</t>
  </si>
  <si>
    <t>라다항공(RDA)</t>
  </si>
  <si>
    <t>라이온항공(LNI)</t>
  </si>
  <si>
    <t>바스피브라질항공(VSP)</t>
  </si>
  <si>
    <t>부탄항공(BTN)</t>
  </si>
  <si>
    <t>솔라시드항공(SNJ)</t>
  </si>
  <si>
    <t>스쿠트타이거항공(TGW)</t>
  </si>
  <si>
    <t>아에로멕시코(AMX)</t>
  </si>
  <si>
    <t>아트란화물항공(VAS)</t>
  </si>
  <si>
    <t>에어카고글로벌(CCC)</t>
  </si>
  <si>
    <t>제이씨인항공(JCC)</t>
  </si>
  <si>
    <t>팔 익스프레스(GAP)</t>
  </si>
  <si>
    <t>필리핀에어아시아(APG)</t>
  </si>
  <si>
    <t>조회기간 : 2018.01 ~ 2018.12, 여객 : 전체, 화물 : 전체, 항공사 : 전체, 운항 : 전체, 노선 : 전체, 여객화물 : 전체</t>
  </si>
  <si>
    <t>룽에어(CDC)</t>
  </si>
  <si>
    <t>말린도항공(MXD)</t>
  </si>
  <si>
    <t>스카이마크항공(SKY)</t>
  </si>
  <si>
    <t>칭다오항공(QDA)</t>
  </si>
  <si>
    <t>조회기간 : 2019.01 ~ 2019.12, 여객 : 전체, 화물 : 전체, 항공사 : 전체, 운항 : 전체, 노선 : 전체, 여객화물 : 전체</t>
  </si>
  <si>
    <t>플라이강원(FGW)</t>
  </si>
  <si>
    <t>YTO 화물 항공사(HYT)</t>
  </si>
  <si>
    <t>뉴질랜드항공(ANZ)</t>
  </si>
  <si>
    <t>러시아피닉스항공(PHG)</t>
  </si>
  <si>
    <t>배이에비에이션(BAV)</t>
  </si>
  <si>
    <t>알틴항공(LYN)</t>
  </si>
  <si>
    <t>이지니스항공(EZA)</t>
  </si>
  <si>
    <t>제트스타(JST)</t>
  </si>
  <si>
    <t>중국동하이항공(EPA)</t>
  </si>
  <si>
    <t>차이나 웨스트 에어(CHB)</t>
  </si>
  <si>
    <t>카고룩스 이탈리아(ICV)</t>
  </si>
  <si>
    <t>조회기간 : 2020.01 ~ 2020.12, 여객 : 전체, 화물 : 전체, 항공사 : 전체, 운항 : 전체, 노선 : 전체, 여객화물 : 전체</t>
  </si>
  <si>
    <t>E-Cargo(ERF)</t>
  </si>
  <si>
    <t>TUI 에어웨이스(TOM)</t>
  </si>
  <si>
    <t>TUI 플라이 벨기에(JAF)</t>
  </si>
  <si>
    <t>로열 에어 모로코(RAM)</t>
  </si>
  <si>
    <t>루비스타(RSB)</t>
  </si>
  <si>
    <t>미얀마 항공(UBA)</t>
  </si>
  <si>
    <t>비바 마카오(VVM)</t>
  </si>
  <si>
    <t>스리랑카항공(ALK)</t>
  </si>
  <si>
    <t>스카이업항공(SQP)</t>
  </si>
  <si>
    <t>스파이스제트(SEJ)</t>
  </si>
  <si>
    <t>시티링크(CTV)</t>
  </si>
  <si>
    <t>아이택항공(IKA)</t>
  </si>
  <si>
    <t>에어링구스(EIN)</t>
  </si>
  <si>
    <t>엘알이스라엘화물항공(ELY)</t>
  </si>
  <si>
    <t>유고슬라비아항공(JAT)</t>
  </si>
  <si>
    <t>이집트항공(MSR)</t>
  </si>
  <si>
    <t>차이나익스프레스항공(HXA)</t>
  </si>
  <si>
    <t>충칭항공(CQN)</t>
  </si>
  <si>
    <t>쿠웨이트항공(KAC)</t>
  </si>
  <si>
    <t>타지크 에어(TJK)</t>
  </si>
  <si>
    <t>톈진화물항공(CTJ)</t>
  </si>
  <si>
    <t>파키스탄항공(PIA)</t>
  </si>
  <si>
    <t>페루비안항공(PVN)</t>
  </si>
  <si>
    <t>허베이항공(HBH)</t>
  </si>
  <si>
    <t>홍콩화물항공(HKC)</t>
  </si>
  <si>
    <t>조회기간 : 2021.01 ~ 2021.08, 여객 : 전체, 화물 : 전체, 항공사 : 전체, 운항 : 전체, 노선 : 전체, 여객화물 : 전체</t>
  </si>
  <si>
    <t>에어로케이(EOK)</t>
  </si>
  <si>
    <t>에어프레미아(APZ)</t>
  </si>
  <si>
    <t>JetAvia(ZAV)</t>
  </si>
  <si>
    <t>Royal Air Philippines(RYL)</t>
  </si>
  <si>
    <t>TUI 플라이 네덜란드(TFL)</t>
  </si>
  <si>
    <t>러시아 우랄항공(SVR)</t>
  </si>
  <si>
    <t>말레스 항공(MLT)</t>
  </si>
  <si>
    <t>버진 애틀란틱항공(VS)</t>
  </si>
  <si>
    <t>스위스항공(SWR)</t>
  </si>
  <si>
    <t>우크라이나국제항공(AUI)</t>
  </si>
  <si>
    <t>윈드로즈 항공(WRC)</t>
  </si>
  <si>
    <t>집에어 도쿄(TZP)</t>
  </si>
  <si>
    <t>국적사 + 외항사 수치</t>
    <phoneticPr fontId="42" type="noConversion"/>
  </si>
  <si>
    <t>항공통계 항공사별 여객, 공급, 운항, 화물 데이터 정리</t>
    <phoneticPr fontId="42" type="noConversion"/>
  </si>
  <si>
    <t>공급(석)</t>
    <phoneticPr fontId="42" type="noConversion"/>
  </si>
  <si>
    <t>운항(편)</t>
    <phoneticPr fontId="42" type="noConversion"/>
  </si>
  <si>
    <t>여객(명)</t>
    <phoneticPr fontId="42" type="noConversion"/>
  </si>
  <si>
    <t>화물(톤)</t>
    <phoneticPr fontId="42" type="noConversion"/>
  </si>
  <si>
    <t>국적사</t>
    <phoneticPr fontId="42" type="noConversion"/>
  </si>
  <si>
    <t>외항사</t>
    <phoneticPr fontId="42" type="noConversion"/>
  </si>
  <si>
    <t>total 대비 국적사 비율</t>
    <phoneticPr fontId="42" type="noConversion"/>
  </si>
  <si>
    <t>비행기당 화물 톤수 추정</t>
    <phoneticPr fontId="42" type="noConversion"/>
  </si>
  <si>
    <t>조회기간 : 2019.01 ~ 2019.12, 여객 : 전체, 화물 : 전체, 항공사 : 전체, 운항 : 전체, 노선 : 전체, 여객화물 : 여객기</t>
  </si>
  <si>
    <t>조회기간 : 2019.01 ~ 2019.12, 여객 : 전체, 화물 : 전체, 항공사 : 전체, 운항 : 전체, 노선 : 전체, 여객화물 : 화물기</t>
  </si>
  <si>
    <t>psgn</t>
    <phoneticPr fontId="42" type="noConversion"/>
  </si>
  <si>
    <t>freight</t>
    <phoneticPr fontId="42" type="noConversion"/>
  </si>
  <si>
    <t>운항 비율</t>
    <phoneticPr fontId="42" type="noConversion"/>
  </si>
  <si>
    <t>화물 비율</t>
    <phoneticPr fontId="42" type="noConversion"/>
  </si>
  <si>
    <t>운항당 톤 수</t>
    <phoneticPr fontId="42" type="noConversion"/>
  </si>
  <si>
    <t>비행기당 좌석 수 추정</t>
    <phoneticPr fontId="42" type="noConversion"/>
  </si>
  <si>
    <t>수하물 포함 수치로 제외</t>
    <phoneticPr fontId="42" type="noConversion"/>
  </si>
  <si>
    <t>국적사 한정</t>
    <phoneticPr fontId="42" type="noConversion"/>
  </si>
  <si>
    <t>국적사 한정 추정</t>
    <phoneticPr fontId="42" type="noConversion"/>
  </si>
  <si>
    <t>https://scienceon.kisti.re.kr/srch/selectPORSrchReport.do?cn=TRKO201600014179</t>
  </si>
  <si>
    <t>p122</t>
    <phoneticPr fontId="42" type="noConversion"/>
  </si>
  <si>
    <t>1 편성당 견인중량</t>
    <phoneticPr fontId="42" type="noConversion"/>
  </si>
  <si>
    <t>CAGR</t>
    <phoneticPr fontId="42" type="noConversion"/>
  </si>
  <si>
    <t>1-1-1. 국내여객총괄 
Domestic Passenger Traffic</t>
    <phoneticPr fontId="46" type="noConversion"/>
  </si>
  <si>
    <t>1-1-1. 국내여객총괄(계속)
Domestic Passenger Traffic(Continue)</t>
    <phoneticPr fontId="46" type="noConversion"/>
  </si>
  <si>
    <t>단위 : 천인(Unit:1,000 persons)</t>
    <phoneticPr fontId="46" type="noConversion"/>
  </si>
  <si>
    <t>단위 : 백만인-킬로미터(Unit:1 mil persons-km)</t>
    <phoneticPr fontId="46" type="noConversion"/>
  </si>
  <si>
    <t xml:space="preserve">               연 도 별 Year
 수단별 Mode</t>
    <phoneticPr fontId="46" type="noConversion"/>
  </si>
  <si>
    <t>합      계
Total</t>
    <phoneticPr fontId="46" type="noConversion"/>
  </si>
  <si>
    <t>철      도
Railway</t>
    <phoneticPr fontId="46" type="noConversion"/>
  </si>
  <si>
    <t>지  하  철
Subway</t>
    <phoneticPr fontId="46" type="noConversion"/>
  </si>
  <si>
    <t>공      로
Road</t>
    <phoneticPr fontId="46" type="noConversion"/>
  </si>
  <si>
    <t>해      운
Shipping</t>
    <phoneticPr fontId="46" type="noConversion"/>
  </si>
  <si>
    <t>항      공
Aviation</t>
    <phoneticPr fontId="46" type="noConversion"/>
  </si>
  <si>
    <t xml:space="preserve">                  연 도 별 Year
 수단별 Mode</t>
    <phoneticPr fontId="46" type="noConversion"/>
  </si>
  <si>
    <t>수송인원 Passenger</t>
    <phoneticPr fontId="46" type="noConversion"/>
  </si>
  <si>
    <t>인-키로 Passenger-km</t>
    <phoneticPr fontId="46" type="noConversion"/>
  </si>
  <si>
    <t>분담률 Share</t>
    <phoneticPr fontId="46" type="noConversion"/>
  </si>
  <si>
    <t>증가율 Growth rate</t>
    <phoneticPr fontId="46" type="noConversion"/>
  </si>
  <si>
    <t>인-키로 Passenger-km</t>
  </si>
  <si>
    <t>수송인원 Passenger</t>
  </si>
  <si>
    <t>분담률 Share</t>
  </si>
  <si>
    <t>증가율 Growth rate</t>
  </si>
  <si>
    <t>자료: 국토교통부 교통물류실 종합교통정책관 교통정책총괄과, 한국교통연구원 국가교통DB센터
주 1) 공로: 2011년부터 승용차통계 포함
주 2) 철도: 2016년 한국철도통계 개편 결과 반영</t>
    <phoneticPr fontId="46" type="noConversion"/>
  </si>
  <si>
    <t>unit:</t>
    <phoneticPr fontId="46" type="noConversion"/>
  </si>
  <si>
    <t>1000persons</t>
  </si>
  <si>
    <t>million persons km</t>
    <phoneticPr fontId="42" type="noConversion"/>
  </si>
  <si>
    <t>rail</t>
    <phoneticPr fontId="46" type="noConversion"/>
  </si>
  <si>
    <t>subway</t>
    <phoneticPr fontId="46" type="noConversion"/>
  </si>
  <si>
    <t>편성당</t>
    <phoneticPr fontId="46" type="noConversion"/>
  </si>
  <si>
    <t>보유량</t>
    <phoneticPr fontId="46" type="noConversion"/>
  </si>
  <si>
    <t>편성수</t>
    <phoneticPr fontId="46" type="noConversion"/>
  </si>
  <si>
    <t>수송인원(일평균)</t>
    <phoneticPr fontId="46" type="noConversion"/>
  </si>
  <si>
    <t>운행횟수</t>
    <phoneticPr fontId="46" type="noConversion"/>
  </si>
  <si>
    <t>평균운행횟수(일)</t>
    <phoneticPr fontId="46" type="noConversion"/>
  </si>
  <si>
    <t>하루 1편성당 이용객</t>
    <phoneticPr fontId="46" type="noConversion"/>
  </si>
  <si>
    <t>평일</t>
    <phoneticPr fontId="46" type="noConversion"/>
  </si>
  <si>
    <t>주말</t>
    <phoneticPr fontId="46" type="noConversion"/>
  </si>
  <si>
    <t>서울 1호선</t>
    <phoneticPr fontId="46" type="noConversion"/>
  </si>
  <si>
    <t>서울 2호선</t>
    <phoneticPr fontId="46" type="noConversion"/>
  </si>
  <si>
    <t>10or6or4</t>
    <phoneticPr fontId="46" type="noConversion"/>
  </si>
  <si>
    <t>서울 3호선</t>
    <phoneticPr fontId="46" type="noConversion"/>
  </si>
  <si>
    <t>서울 4호선</t>
    <phoneticPr fontId="46" type="noConversion"/>
  </si>
  <si>
    <t>서울 5호선</t>
    <phoneticPr fontId="46" type="noConversion"/>
  </si>
  <si>
    <t>서울 6호선</t>
    <phoneticPr fontId="46" type="noConversion"/>
  </si>
  <si>
    <t>서울 7호선</t>
    <phoneticPr fontId="46" type="noConversion"/>
  </si>
  <si>
    <t>서울 8호선</t>
    <phoneticPr fontId="46" type="noConversion"/>
  </si>
  <si>
    <t>서울 9호선</t>
    <phoneticPr fontId="46" type="noConversion"/>
  </si>
  <si>
    <t>대전 1호선</t>
    <phoneticPr fontId="46" type="noConversion"/>
  </si>
  <si>
    <t>부산 1호선</t>
    <phoneticPr fontId="46" type="noConversion"/>
  </si>
  <si>
    <t>부산 2호선</t>
    <phoneticPr fontId="46" type="noConversion"/>
  </si>
  <si>
    <t>부산 3호선</t>
    <phoneticPr fontId="46" type="noConversion"/>
  </si>
  <si>
    <t>부산 4호선</t>
    <phoneticPr fontId="46" type="noConversion"/>
  </si>
  <si>
    <t>인천 1호선</t>
    <phoneticPr fontId="46" type="noConversion"/>
  </si>
  <si>
    <t>인천 2호선</t>
    <phoneticPr fontId="46" type="noConversion"/>
  </si>
  <si>
    <t>대구 1호선</t>
    <phoneticPr fontId="46" type="noConversion"/>
  </si>
  <si>
    <t>대구 2호선</t>
    <phoneticPr fontId="46" type="noConversion"/>
  </si>
  <si>
    <t>대구 3호선</t>
    <phoneticPr fontId="46" type="noConversion"/>
  </si>
  <si>
    <t>광주 1호선</t>
    <phoneticPr fontId="46" type="noConversion"/>
  </si>
  <si>
    <t>부산-김해 경전철</t>
    <phoneticPr fontId="46" type="noConversion"/>
  </si>
  <si>
    <t>의정부 경전철</t>
    <phoneticPr fontId="46" type="noConversion"/>
  </si>
  <si>
    <t>용인경량전철</t>
    <phoneticPr fontId="46" type="noConversion"/>
  </si>
  <si>
    <t>우이 신설경전철</t>
    <phoneticPr fontId="46" type="noConversion"/>
  </si>
  <si>
    <t>총계</t>
    <phoneticPr fontId="46" type="noConversion"/>
  </si>
  <si>
    <t>편성당 승객수</t>
    <phoneticPr fontId="46" type="noConversion"/>
  </si>
  <si>
    <t>subway is 2018 data</t>
    <phoneticPr fontId="42" type="noConversion"/>
  </si>
  <si>
    <t>persons km</t>
    <phoneticPr fontId="42" type="noConversion"/>
  </si>
  <si>
    <t>편성수</t>
    <phoneticPr fontId="42" type="noConversion"/>
  </si>
  <si>
    <t>편성당 승객수</t>
    <phoneticPr fontId="42" type="noConversion"/>
  </si>
  <si>
    <t>result-subway</t>
    <phoneticPr fontId="42" type="noConversion"/>
  </si>
  <si>
    <t>result-rail</t>
    <phoneticPr fontId="42" type="noConversion"/>
  </si>
  <si>
    <t>2018 data for reliability</t>
    <phoneticPr fontId="42" type="noConversion"/>
  </si>
  <si>
    <t>result-sum(rail,subway)</t>
    <phoneticPr fontId="42" type="noConversion"/>
  </si>
  <si>
    <t>편성당 승객수</t>
    <phoneticPr fontId="42" type="noConversion"/>
  </si>
  <si>
    <t>편성수</t>
    <phoneticPr fontId="42" type="noConversion"/>
  </si>
  <si>
    <t>rail</t>
    <phoneticPr fontId="42" type="noConversion"/>
  </si>
  <si>
    <t>subway</t>
    <phoneticPr fontId="42" type="noConversion"/>
  </si>
  <si>
    <t>for 편성당 승객수의 가중평균</t>
    <phoneticPr fontId="42" type="noConversion"/>
  </si>
  <si>
    <t>가중평균</t>
    <phoneticPr fontId="42" type="noConversion"/>
  </si>
  <si>
    <t>https://stat.molit.go.kr/portal/stat/yearReport.do</t>
    <phoneticPr fontId="42" type="noConversion"/>
  </si>
  <si>
    <t>tons</t>
    <phoneticPr fontId="42" type="noConversion"/>
  </si>
  <si>
    <t>tons km</t>
    <phoneticPr fontId="42" type="noConversion"/>
  </si>
  <si>
    <t>persons</t>
    <phoneticPr fontId="42" type="noConversion"/>
  </si>
  <si>
    <t>2012 - 2019 자료 기반 CAGR</t>
    <phoneticPr fontId="42" type="noConversion"/>
  </si>
  <si>
    <t>https://www.kric.go.kr/jsp/handbook/sta/statisticsTechList.jsp</t>
    <phoneticPr fontId="42" type="noConversion"/>
  </si>
  <si>
    <t>Page 32-47</t>
    <phoneticPr fontId="42" type="noConversion"/>
  </si>
  <si>
    <t>Page 224-271</t>
    <phoneticPr fontId="42" type="noConversion"/>
  </si>
  <si>
    <t>SYVbT_Rail-subway</t>
    <phoneticPr fontId="42" type="noConversion"/>
  </si>
  <si>
    <t>열차보유 현황</t>
    <phoneticPr fontId="42" type="noConversion"/>
  </si>
  <si>
    <t>해당 자료에서 노란색 배경은 가정치가 아님</t>
    <phoneticPr fontId="42" type="noConversion"/>
  </si>
  <si>
    <t>Daily vehicle mileage</t>
    <phoneticPr fontId="42" type="noConversion"/>
  </si>
  <si>
    <t>KOTSA</t>
    <phoneticPr fontId="42" type="noConversion"/>
  </si>
  <si>
    <t>OpenData</t>
    <phoneticPr fontId="42" type="noConversion"/>
  </si>
  <si>
    <t>KEEI</t>
    <phoneticPr fontId="42" type="noConversion"/>
  </si>
  <si>
    <t>KOTI</t>
    <phoneticPr fontId="42" type="noConversion"/>
  </si>
  <si>
    <t>Ministry of Land, Infrastructure and Transport</t>
    <phoneticPr fontId="42" type="noConversion"/>
  </si>
  <si>
    <t>Vehicle mileage by type</t>
    <phoneticPr fontId="42" type="noConversion"/>
  </si>
  <si>
    <t>Domestic International, Shipping Air, Passenger Cargo Data</t>
    <phoneticPr fontId="42" type="noConversion"/>
  </si>
  <si>
    <t>Average daily mileage of a motorcycle</t>
  </si>
  <si>
    <t>Domestic passenger data</t>
  </si>
  <si>
    <t>Railroad passenger and cargo transportation performance by year</t>
    <phoneticPr fontId="42" type="noConversion"/>
  </si>
  <si>
    <t>Annual passenger transport (passenger and passenger-km)</t>
    <phoneticPr fontId="42" type="noConversion"/>
  </si>
  <si>
    <t>Annual cargo transport by year (ton and t-km)</t>
    <phoneticPr fontId="42" type="noConversion"/>
  </si>
  <si>
    <t>Annual domestic and international air transport</t>
    <phoneticPr fontId="42" type="noConversion"/>
  </si>
  <si>
    <t>Annual domestic and International Freight by transport</t>
    <phoneticPr fontId="42" type="noConversion"/>
  </si>
  <si>
    <t>Annual Domestic and International Freight by Transport</t>
    <phoneticPr fontId="42" type="noConversion"/>
  </si>
  <si>
    <t>Logistics - Transport Performance Report - Domestic Passengers</t>
    <phoneticPr fontId="42" type="noConversion"/>
  </si>
  <si>
    <t>Railway Statistical Yearbook (Interregional Railway)</t>
  </si>
  <si>
    <t>Energy statistics (Frequently requested)</t>
    <phoneticPr fontId="42" type="noConversion"/>
  </si>
  <si>
    <t>2019 National Traffic Statistics</t>
    <phoneticPr fontId="42" type="noConversion"/>
  </si>
  <si>
    <t>Journal of the Korean Society for Atmospheric Environment</t>
  </si>
  <si>
    <t>Survey of daily mileage estimation of air pollution emissions of two-wheeled vehicles</t>
    <phoneticPr fontId="42" type="noConversion"/>
  </si>
  <si>
    <t>In DV data, 'SYVbT_DV-Registration Status' and 'DV-km' have different vehicle model classification</t>
    <phoneticPr fontId="42" type="noConversion"/>
  </si>
  <si>
    <t>We reclassified the given data into LDVs and HDVs</t>
    <phoneticPr fontId="42" type="noConversion"/>
  </si>
  <si>
    <t>Among trains, high-speed trains and itx are mostly used for passengers, but other trains such as Mugunghwa and Saenuri can be used for both cargo and passengers.</t>
    <phoneticPr fontId="42" type="noConversion"/>
  </si>
  <si>
    <t>As for the above, the number of cars per train may vary depending on the requirements, so we assumed the number of cars per train.</t>
    <phoneticPr fontId="42" type="noConversion"/>
  </si>
  <si>
    <t xml:space="preserve">The total number of freighters is limited in Korea, annual travel mileage of each freighter is relatively long due to a large volume of freight requirement. </t>
    <phoneticPr fontId="42" type="noConversion"/>
  </si>
  <si>
    <t>Data from &lt;Korea Institute of Energy Economy_Frequent Statistics&gt;, &lt;Ministry of Land, Infrastructure and Transport_Reports of Domestic International Air Transport by Year&gt;, &lt;Korea Transport Research Institute_2019 National Transportation Statistics for Domestic Flights&gt;</t>
    <phoneticPr fontId="42" type="noConversion"/>
  </si>
  <si>
    <t>Both domestic and international transports are included for shipping.</t>
    <phoneticPr fontId="42" type="noConversion"/>
  </si>
  <si>
    <t>Both domestic and international transports are included for air travel.</t>
    <phoneticPr fontId="42" type="noConversion"/>
  </si>
  <si>
    <t>Data from &lt;Energy Economic Research Institute_Frequent Statistics&gt; and &lt;Korea Transportation Research Institute_2019 National Transportation Statistics&gt;</t>
    <phoneticPr fontId="42" type="noConversion"/>
  </si>
  <si>
    <t>For data on motorcycle mileage, refer to a master's thesis which gathered the 2009 data through surveys.</t>
    <phoneticPr fontId="42" type="noConversion"/>
  </si>
  <si>
    <t>해운 여객의 좌석수는 국내 연안여객선의 좌석수를 기반으로 계산했으며, 이를 국내 국제 여객에 동일하게 적용</t>
    <phoneticPr fontId="42" type="noConversion"/>
  </si>
  <si>
    <t>2019년도 데이터 기반으로 result 도출</t>
    <phoneticPr fontId="42" type="noConversion"/>
  </si>
  <si>
    <t>https://www.srail.or.kr/cms/archive.do?pageId=KR0401000000</t>
    <phoneticPr fontId="42" type="noConversion"/>
  </si>
  <si>
    <t>고속열차 및 ITX(우등열차)는 고정편성수를 사용하지만 나머지 무궁화, 새누리호 등은 편성이 유동적이다.</t>
    <phoneticPr fontId="42" type="noConversion"/>
  </si>
  <si>
    <t>모든 유동성을 고려할 순 없으므로 고속열차의 편성량수(편성당 량수)를 고정으로 사용했다.</t>
    <phoneticPr fontId="42" type="noConversion"/>
  </si>
  <si>
    <t>1편성이 옮길 수 있는 화물의 중량은 아래 자료를 참고했다.</t>
    <phoneticPr fontId="42" type="noConversion"/>
  </si>
  <si>
    <t>열차 좌석선정에 있어 고속열차(SRT)의 좌석수(51.25) 및 객차 수(8량) 데이터를 일괄적으로 사용했다.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</si>
</sst>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2" formatCode="_-&quot;₩&quot;* #,##0_-;\-&quot;₩&quot;* #,##0_-;_-&quot;₩&quot;* &quot;-&quot;_-;_-@_-"/>
    <numFmt numFmtId="41" formatCode="_-* #,##0_-;\-* #,##0_-;_-* &quot;-&quot;_-;_-@_-"/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###0.00_)"/>
    <numFmt numFmtId="179" formatCode="#,##0_)"/>
    <numFmt numFmtId="180" formatCode="#,##0_ "/>
    <numFmt numFmtId="181" formatCode="#,##0_);[Red]\(#,##0\)"/>
    <numFmt numFmtId="182" formatCode="#,##0.000_);[Red]\(#,##0.000\)"/>
    <numFmt numFmtId="183" formatCode="#,##0.000_ "/>
    <numFmt numFmtId="184" formatCode="0_ "/>
    <numFmt numFmtId="185" formatCode="0.0_ "/>
    <numFmt numFmtId="186" formatCode="#,##0.0_ "/>
    <numFmt numFmtId="187" formatCode="_-* #,##0.0_-;\-* #,##0.0_-;_-* &quot;-&quot;??_-;_-@_-"/>
    <numFmt numFmtId="188" formatCode="0.0_);[Red]\(0.0\)"/>
    <numFmt numFmtId="189" formatCode="0.00_);[Red]\(0.00\)"/>
  </numFmts>
  <fonts count="79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맑은 고딕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333333"/>
      <name val="맑은 고딕"/>
      <family val="3"/>
      <charset val="129"/>
      <scheme val="minor"/>
    </font>
    <font>
      <sz val="10"/>
      <color rgb="FF31393F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MS Gothic"/>
      <family val="3"/>
      <charset val="128"/>
    </font>
    <font>
      <sz val="10"/>
      <name val="맑은 고딕"/>
      <family val="3"/>
      <charset val="129"/>
    </font>
    <font>
      <sz val="18"/>
      <color theme="3"/>
      <name val="맑은 고딕"/>
      <family val="2"/>
      <charset val="129"/>
      <scheme val="major"/>
    </font>
    <font>
      <sz val="12"/>
      <name val="HY견명조"/>
      <family val="1"/>
      <charset val="129"/>
    </font>
    <font>
      <sz val="8"/>
      <name val="바탕"/>
      <family val="1"/>
      <charset val="129"/>
    </font>
    <font>
      <sz val="10"/>
      <name val="돋움"/>
      <family val="3"/>
      <charset val="129"/>
    </font>
    <font>
      <sz val="8"/>
      <name val="HY태고딕"/>
      <family val="1"/>
      <charset val="129"/>
    </font>
    <font>
      <sz val="11"/>
      <name val="바탕"/>
      <family val="1"/>
      <charset val="129"/>
    </font>
    <font>
      <sz val="11"/>
      <name val="돋움"/>
      <family val="3"/>
      <charset val="129"/>
    </font>
    <font>
      <sz val="8"/>
      <color rgb="FFFF0000"/>
      <name val="바탕"/>
      <family val="1"/>
      <charset val="129"/>
    </font>
    <font>
      <sz val="11"/>
      <color rgb="FFFF0000"/>
      <name val="돋움"/>
      <family val="3"/>
      <charset val="129"/>
    </font>
    <font>
      <sz val="8"/>
      <color theme="1"/>
      <name val="바탕"/>
      <family val="1"/>
      <charset val="129"/>
    </font>
    <font>
      <sz val="11"/>
      <name val="HY태고딕"/>
      <family val="1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돋움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9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 diagonalDown="1">
      <left/>
      <right style="hair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 diagonalDown="1"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hair">
        <color indexed="64"/>
      </diagonal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1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ont="0" applyProtection="0">
      <alignment wrapText="1"/>
    </xf>
    <xf numFmtId="0" fontId="9" fillId="0" borderId="3" applyNumberFormat="0" applyFont="0" applyProtection="0">
      <alignment wrapText="1"/>
    </xf>
    <xf numFmtId="0" fontId="10" fillId="21" borderId="4" applyNumberFormat="0" applyAlignment="0" applyProtection="0"/>
    <xf numFmtId="0" fontId="11" fillId="22" borderId="5" applyNumberFormat="0" applyAlignment="0" applyProtection="0"/>
    <xf numFmtId="0" fontId="12" fillId="0" borderId="0">
      <alignment horizontal="center" vertical="center" wrapText="1"/>
    </xf>
    <xf numFmtId="177" fontId="3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6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177" fontId="5" fillId="0" borderId="0" applyFont="0" applyFill="0" applyBorder="0" applyAlignment="0" applyProtection="0"/>
    <xf numFmtId="0" fontId="13" fillId="0" borderId="0">
      <alignment horizontal="left" vertical="center" wrapText="1"/>
    </xf>
    <xf numFmtId="176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176" fontId="3" fillId="0" borderId="0" applyFont="0" applyFill="0" applyBorder="0" applyAlignment="0" applyProtection="0"/>
    <xf numFmtId="178" fontId="14" fillId="0" borderId="6" applyNumberFormat="0" applyFill="0">
      <alignment horizontal="right"/>
    </xf>
    <xf numFmtId="178" fontId="15" fillId="0" borderId="6" applyNumberFormat="0" applyFill="0">
      <alignment horizontal="right"/>
    </xf>
    <xf numFmtId="179" fontId="16" fillId="0" borderId="6">
      <alignment horizontal="right" vertical="center"/>
    </xf>
    <xf numFmtId="49" fontId="17" fillId="0" borderId="6">
      <alignment horizontal="left" vertical="center"/>
    </xf>
    <xf numFmtId="178" fontId="14" fillId="0" borderId="6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7" applyNumberFormat="0" applyProtection="0">
      <alignment wrapText="1"/>
    </xf>
    <xf numFmtId="0" fontId="9" fillId="0" borderId="7" applyNumberFormat="0" applyProtection="0">
      <alignment wrapText="1"/>
    </xf>
    <xf numFmtId="0" fontId="19" fillId="5" borderId="0" applyNumberFormat="0" applyBorder="0" applyAlignment="0" applyProtection="0"/>
    <xf numFmtId="0" fontId="20" fillId="0" borderId="8" applyNumberFormat="0" applyProtection="0">
      <alignment wrapText="1"/>
    </xf>
    <xf numFmtId="0" fontId="20" fillId="0" borderId="8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6">
      <alignment horizontal="left"/>
    </xf>
    <xf numFmtId="0" fontId="25" fillId="0" borderId="6">
      <alignment horizontal="left"/>
    </xf>
    <xf numFmtId="0" fontId="26" fillId="0" borderId="12">
      <alignment horizontal="right" vertical="center"/>
    </xf>
    <xf numFmtId="0" fontId="27" fillId="0" borderId="6">
      <alignment horizontal="left" vertical="center"/>
    </xf>
    <xf numFmtId="0" fontId="14" fillId="0" borderId="6">
      <alignment horizontal="left" vertical="center"/>
    </xf>
    <xf numFmtId="0" fontId="24" fillId="0" borderId="6">
      <alignment horizontal="left"/>
    </xf>
    <xf numFmtId="0" fontId="24" fillId="23" borderId="0">
      <alignment horizontal="centerContinuous" wrapText="1"/>
    </xf>
    <xf numFmtId="49" fontId="24" fillId="23" borderId="1">
      <alignment horizontal="left" vertical="center"/>
    </xf>
    <xf numFmtId="0" fontId="24" fillId="23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8" borderId="4" applyNumberFormat="0" applyAlignment="0" applyProtection="0"/>
    <xf numFmtId="0" fontId="30" fillId="0" borderId="13" applyNumberFormat="0" applyFill="0" applyAlignment="0" applyProtection="0"/>
    <xf numFmtId="0" fontId="31" fillId="24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2" borderId="2" applyNumberFormat="0" applyFont="0" applyAlignment="0" applyProtection="0"/>
    <xf numFmtId="0" fontId="3" fillId="25" borderId="14" applyNumberFormat="0" applyFont="0" applyAlignment="0" applyProtection="0"/>
    <xf numFmtId="0" fontId="33" fillId="21" borderId="15" applyNumberFormat="0" applyAlignment="0" applyProtection="0"/>
    <xf numFmtId="0" fontId="20" fillId="0" borderId="16" applyNumberFormat="0" applyProtection="0">
      <alignment wrapText="1"/>
    </xf>
    <xf numFmtId="0" fontId="20" fillId="0" borderId="16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6">
      <alignment horizontal="left"/>
    </xf>
    <xf numFmtId="178" fontId="16" fillId="0" borderId="0" applyNumberFormat="0">
      <alignment horizontal="right"/>
    </xf>
    <xf numFmtId="0" fontId="26" fillId="26" borderId="0">
      <alignment horizontal="centerContinuous" vertical="center" wrapText="1"/>
    </xf>
    <xf numFmtId="0" fontId="26" fillId="0" borderId="17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8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6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6">
      <alignment horizontal="left"/>
    </xf>
    <xf numFmtId="41" fontId="44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180" fontId="68" fillId="0" borderId="0" applyNumberFormat="0">
      <alignment vertical="center"/>
    </xf>
    <xf numFmtId="0" fontId="67" fillId="0" borderId="0">
      <alignment vertical="center"/>
    </xf>
  </cellStyleXfs>
  <cellXfs count="45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  <xf numFmtId="1" fontId="0" fillId="0" borderId="0" xfId="0" applyNumberFormat="1"/>
    <xf numFmtId="3" fontId="0" fillId="0" borderId="0" xfId="0" applyNumberFormat="1" applyFill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  <xf numFmtId="1" fontId="0" fillId="0" borderId="0" xfId="0" applyNumberFormat="1" applyAlignment="1"/>
    <xf numFmtId="1" fontId="0" fillId="0" borderId="0" xfId="0" applyNumberFormat="1" applyFill="1"/>
    <xf numFmtId="1" fontId="0" fillId="0" borderId="0" xfId="0" applyNumberFormat="1" applyFill="1" applyAlignment="1"/>
    <xf numFmtId="0" fontId="0" fillId="0" borderId="0" xfId="0" applyAlignment="1">
      <alignment vertical="center"/>
    </xf>
    <xf numFmtId="0" fontId="2" fillId="0" borderId="0" xfId="1" applyAlignment="1">
      <alignment horizontal="left"/>
    </xf>
    <xf numFmtId="0" fontId="45" fillId="0" borderId="0" xfId="0" applyFont="1" applyAlignment="1">
      <alignment horizontal="left" vertical="center"/>
    </xf>
    <xf numFmtId="0" fontId="48" fillId="0" borderId="0" xfId="0" applyFont="1" applyAlignment="1">
      <alignment vertical="center"/>
    </xf>
    <xf numFmtId="49" fontId="47" fillId="0" borderId="0" xfId="0" applyNumberFormat="1" applyFont="1" applyAlignment="1">
      <alignment horizontal="left"/>
    </xf>
    <xf numFmtId="0" fontId="48" fillId="0" borderId="0" xfId="0" quotePrefix="1" applyFont="1" applyAlignment="1">
      <alignment vertical="center"/>
    </xf>
    <xf numFmtId="0" fontId="48" fillId="27" borderId="19" xfId="0" applyFont="1" applyFill="1" applyBorder="1" applyAlignment="1">
      <alignment vertical="center"/>
    </xf>
    <xf numFmtId="0" fontId="48" fillId="28" borderId="19" xfId="0" applyFont="1" applyFill="1" applyBorder="1" applyAlignment="1">
      <alignment horizontal="center" vertical="center"/>
    </xf>
    <xf numFmtId="0" fontId="48" fillId="0" borderId="19" xfId="0" applyFont="1" applyBorder="1" applyAlignment="1">
      <alignment vertical="center"/>
    </xf>
    <xf numFmtId="41" fontId="48" fillId="0" borderId="19" xfId="154" applyFont="1" applyBorder="1">
      <alignment vertical="center"/>
    </xf>
    <xf numFmtId="0" fontId="45" fillId="0" borderId="0" xfId="0" applyNumberFormat="1" applyFont="1" applyAlignment="1">
      <alignment vertical="center"/>
    </xf>
    <xf numFmtId="41" fontId="48" fillId="0" borderId="19" xfId="154" applyFont="1" applyBorder="1" applyAlignment="1">
      <alignment horizontal="left" vertical="center"/>
    </xf>
    <xf numFmtId="41" fontId="48" fillId="0" borderId="19" xfId="154" applyFont="1" applyFill="1" applyBorder="1" applyAlignment="1">
      <alignment horizontal="left" vertical="center"/>
    </xf>
    <xf numFmtId="41" fontId="48" fillId="31" borderId="19" xfId="154" applyFont="1" applyFill="1" applyBorder="1">
      <alignment vertical="center"/>
    </xf>
    <xf numFmtId="41" fontId="48" fillId="30" borderId="19" xfId="154" applyFont="1" applyFill="1" applyBorder="1">
      <alignment vertical="center"/>
    </xf>
    <xf numFmtId="41" fontId="48" fillId="0" borderId="19" xfId="154" applyFont="1" applyFill="1" applyBorder="1">
      <alignment vertical="center"/>
    </xf>
    <xf numFmtId="41" fontId="48" fillId="32" borderId="19" xfId="154" applyFont="1" applyFill="1" applyBorder="1">
      <alignment vertical="center"/>
    </xf>
    <xf numFmtId="41" fontId="48" fillId="29" borderId="19" xfId="154" applyFont="1" applyFill="1" applyBorder="1">
      <alignment vertical="center"/>
    </xf>
    <xf numFmtId="0" fontId="45" fillId="0" borderId="19" xfId="0" applyNumberFormat="1" applyFont="1" applyBorder="1" applyAlignment="1">
      <alignment horizontal="center" vertical="center"/>
    </xf>
    <xf numFmtId="0" fontId="45" fillId="0" borderId="31" xfId="0" applyNumberFormat="1" applyFont="1" applyFill="1" applyBorder="1" applyAlignment="1">
      <alignment horizontal="center" vertical="center"/>
    </xf>
    <xf numFmtId="0" fontId="45" fillId="0" borderId="31" xfId="0" applyNumberFormat="1" applyFont="1" applyBorder="1" applyAlignment="1">
      <alignment horizontal="center" vertical="center"/>
    </xf>
    <xf numFmtId="0" fontId="45" fillId="0" borderId="28" xfId="0" applyNumberFormat="1" applyFont="1" applyBorder="1" applyAlignment="1">
      <alignment vertical="center"/>
    </xf>
    <xf numFmtId="0" fontId="45" fillId="0" borderId="1" xfId="0" applyNumberFormat="1" applyFont="1" applyBorder="1" applyAlignment="1">
      <alignment vertical="center"/>
    </xf>
    <xf numFmtId="0" fontId="45" fillId="0" borderId="0" xfId="0" applyNumberFormat="1" applyFont="1" applyAlignment="1">
      <alignment horizontal="left" vertical="center"/>
    </xf>
    <xf numFmtId="181" fontId="45" fillId="0" borderId="31" xfId="0" applyNumberFormat="1" applyFont="1" applyFill="1" applyBorder="1" applyAlignment="1">
      <alignment horizontal="center" vertical="center"/>
    </xf>
    <xf numFmtId="0" fontId="43" fillId="0" borderId="0" xfId="0" applyNumberFormat="1" applyFont="1" applyAlignment="1">
      <alignment vertical="center"/>
    </xf>
    <xf numFmtId="181" fontId="43" fillId="0" borderId="0" xfId="0" applyNumberFormat="1" applyFont="1" applyAlignment="1">
      <alignment vertical="center"/>
    </xf>
    <xf numFmtId="181" fontId="43" fillId="0" borderId="19" xfId="0" applyNumberFormat="1" applyFont="1" applyBorder="1" applyAlignment="1">
      <alignment vertical="center"/>
    </xf>
    <xf numFmtId="0" fontId="43" fillId="0" borderId="19" xfId="0" applyNumberFormat="1" applyFont="1" applyBorder="1" applyAlignment="1">
      <alignment vertical="center"/>
    </xf>
    <xf numFmtId="0" fontId="43" fillId="0" borderId="0" xfId="0" applyNumberFormat="1" applyFont="1" applyBorder="1" applyAlignment="1">
      <alignment horizontal="center" vertical="center"/>
    </xf>
    <xf numFmtId="0" fontId="43" fillId="0" borderId="0" xfId="0" applyNumberFormat="1" applyFont="1" applyBorder="1" applyAlignment="1">
      <alignment vertical="center"/>
    </xf>
    <xf numFmtId="182" fontId="43" fillId="0" borderId="33" xfId="0" applyNumberFormat="1" applyFont="1" applyBorder="1" applyAlignment="1">
      <alignment vertical="center"/>
    </xf>
    <xf numFmtId="181" fontId="43" fillId="0" borderId="34" xfId="0" applyNumberFormat="1" applyFont="1" applyBorder="1" applyAlignment="1">
      <alignment vertical="center"/>
    </xf>
    <xf numFmtId="0" fontId="43" fillId="0" borderId="24" xfId="0" applyNumberFormat="1" applyFont="1" applyBorder="1" applyAlignment="1">
      <alignment vertical="center"/>
    </xf>
    <xf numFmtId="180" fontId="43" fillId="0" borderId="28" xfId="0" applyNumberFormat="1" applyFont="1" applyBorder="1" applyAlignment="1">
      <alignment vertical="center"/>
    </xf>
    <xf numFmtId="182" fontId="43" fillId="0" borderId="19" xfId="0" applyNumberFormat="1" applyFont="1" applyBorder="1" applyAlignment="1">
      <alignment vertical="center"/>
    </xf>
    <xf numFmtId="181" fontId="43" fillId="0" borderId="35" xfId="0" applyNumberFormat="1" applyFont="1" applyBorder="1" applyAlignment="1">
      <alignment vertical="center"/>
    </xf>
    <xf numFmtId="0" fontId="43" fillId="0" borderId="26" xfId="0" applyNumberFormat="1" applyFont="1" applyBorder="1" applyAlignment="1">
      <alignment vertical="center"/>
    </xf>
    <xf numFmtId="180" fontId="43" fillId="0" borderId="1" xfId="0" applyNumberFormat="1" applyFont="1" applyBorder="1" applyAlignment="1">
      <alignment vertical="center"/>
    </xf>
    <xf numFmtId="0" fontId="43" fillId="0" borderId="27" xfId="0" applyNumberFormat="1" applyFont="1" applyBorder="1" applyAlignment="1">
      <alignment vertical="center"/>
    </xf>
    <xf numFmtId="180" fontId="43" fillId="0" borderId="0" xfId="0" applyNumberFormat="1" applyFont="1" applyBorder="1" applyAlignment="1">
      <alignment vertical="center"/>
    </xf>
    <xf numFmtId="182" fontId="43" fillId="30" borderId="19" xfId="0" applyNumberFormat="1" applyFont="1" applyFill="1" applyBorder="1" applyAlignment="1">
      <alignment vertical="center"/>
    </xf>
    <xf numFmtId="0" fontId="43" fillId="0" borderId="38" xfId="0" applyNumberFormat="1" applyFont="1" applyBorder="1" applyAlignment="1">
      <alignment horizontal="left" vertical="center"/>
    </xf>
    <xf numFmtId="181" fontId="43" fillId="0" borderId="38" xfId="0" applyNumberFormat="1" applyFont="1" applyBorder="1" applyAlignment="1">
      <alignment vertical="center"/>
    </xf>
    <xf numFmtId="182" fontId="43" fillId="0" borderId="38" xfId="0" applyNumberFormat="1" applyFont="1" applyBorder="1" applyAlignment="1">
      <alignment vertical="center"/>
    </xf>
    <xf numFmtId="181" fontId="43" fillId="0" borderId="40" xfId="0" applyNumberFormat="1" applyFont="1" applyBorder="1" applyAlignment="1">
      <alignment vertical="center"/>
    </xf>
    <xf numFmtId="182" fontId="43" fillId="0" borderId="33" xfId="0" applyNumberFormat="1" applyFont="1" applyFill="1" applyBorder="1" applyAlignment="1">
      <alignment vertical="center"/>
    </xf>
    <xf numFmtId="182" fontId="43" fillId="30" borderId="38" xfId="0" applyNumberFormat="1" applyFont="1" applyFill="1" applyBorder="1" applyAlignment="1">
      <alignment vertical="center"/>
    </xf>
    <xf numFmtId="183" fontId="43" fillId="0" borderId="0" xfId="0" applyNumberFormat="1" applyFont="1" applyAlignment="1">
      <alignment horizontal="right" vertical="center"/>
    </xf>
    <xf numFmtId="180" fontId="43" fillId="0" borderId="0" xfId="0" applyNumberFormat="1" applyFont="1" applyAlignment="1">
      <alignment vertical="center"/>
    </xf>
    <xf numFmtId="181" fontId="45" fillId="0" borderId="0" xfId="0" applyNumberFormat="1" applyFont="1" applyAlignment="1">
      <alignment vertical="center"/>
    </xf>
    <xf numFmtId="180" fontId="45" fillId="0" borderId="38" xfId="0" applyNumberFormat="1" applyFont="1" applyBorder="1" applyAlignment="1">
      <alignment horizontal="center" vertical="center"/>
    </xf>
    <xf numFmtId="0" fontId="45" fillId="0" borderId="22" xfId="0" applyNumberFormat="1" applyFont="1" applyBorder="1" applyAlignment="1">
      <alignment horizontal="center" vertical="center"/>
    </xf>
    <xf numFmtId="181" fontId="43" fillId="0" borderId="39" xfId="0" applyNumberFormat="1" applyFont="1" applyBorder="1" applyAlignment="1">
      <alignment vertical="center"/>
    </xf>
    <xf numFmtId="181" fontId="43" fillId="0" borderId="41" xfId="0" applyNumberFormat="1" applyFont="1" applyBorder="1" applyAlignment="1">
      <alignment vertical="center"/>
    </xf>
    <xf numFmtId="10" fontId="43" fillId="0" borderId="34" xfId="0" applyNumberFormat="1" applyFont="1" applyBorder="1" applyAlignment="1">
      <alignment vertical="center"/>
    </xf>
    <xf numFmtId="181" fontId="43" fillId="0" borderId="42" xfId="0" applyNumberFormat="1" applyFont="1" applyBorder="1" applyAlignment="1">
      <alignment vertical="center"/>
    </xf>
    <xf numFmtId="10" fontId="43" fillId="0" borderId="35" xfId="0" applyNumberFormat="1" applyFont="1" applyBorder="1" applyAlignment="1">
      <alignment vertical="center"/>
    </xf>
    <xf numFmtId="181" fontId="43" fillId="0" borderId="43" xfId="0" applyNumberFormat="1" applyFont="1" applyBorder="1" applyAlignment="1">
      <alignment vertical="center"/>
    </xf>
    <xf numFmtId="10" fontId="43" fillId="0" borderId="40" xfId="0" applyNumberFormat="1" applyFont="1" applyBorder="1" applyAlignment="1">
      <alignment vertical="center"/>
    </xf>
    <xf numFmtId="181" fontId="43" fillId="0" borderId="36" xfId="0" applyNumberFormat="1" applyFont="1" applyBorder="1" applyAlignment="1">
      <alignment vertical="center"/>
    </xf>
    <xf numFmtId="182" fontId="43" fillId="0" borderId="36" xfId="0" applyNumberFormat="1" applyFont="1" applyBorder="1" applyAlignment="1">
      <alignment vertical="center"/>
    </xf>
    <xf numFmtId="0" fontId="43" fillId="0" borderId="45" xfId="0" applyNumberFormat="1" applyFont="1" applyBorder="1" applyAlignment="1">
      <alignment horizontal="left" vertical="center"/>
    </xf>
    <xf numFmtId="0" fontId="43" fillId="0" borderId="20" xfId="0" applyNumberFormat="1" applyFont="1" applyBorder="1" applyAlignment="1">
      <alignment horizontal="left" vertical="center"/>
    </xf>
    <xf numFmtId="0" fontId="43" fillId="0" borderId="30" xfId="0" applyNumberFormat="1" applyFont="1" applyBorder="1" applyAlignment="1">
      <alignment horizontal="left" vertical="center"/>
    </xf>
    <xf numFmtId="0" fontId="45" fillId="0" borderId="41" xfId="0" applyNumberFormat="1" applyFont="1" applyBorder="1" applyAlignment="1">
      <alignment horizontal="center" vertical="center"/>
    </xf>
    <xf numFmtId="0" fontId="45" fillId="0" borderId="42" xfId="0" applyNumberFormat="1" applyFont="1" applyBorder="1" applyAlignment="1">
      <alignment horizontal="center" vertical="center"/>
    </xf>
    <xf numFmtId="0" fontId="45" fillId="0" borderId="43" xfId="0" applyNumberFormat="1" applyFont="1" applyBorder="1" applyAlignment="1">
      <alignment horizontal="center" vertical="center"/>
    </xf>
    <xf numFmtId="181" fontId="43" fillId="0" borderId="34" xfId="0" applyNumberFormat="1" applyFont="1" applyFill="1" applyBorder="1" applyAlignment="1">
      <alignment vertical="center"/>
    </xf>
    <xf numFmtId="180" fontId="45" fillId="0" borderId="22" xfId="0" applyNumberFormat="1" applyFont="1" applyBorder="1" applyAlignment="1">
      <alignment horizontal="center" vertical="center"/>
    </xf>
    <xf numFmtId="182" fontId="43" fillId="30" borderId="39" xfId="0" applyNumberFormat="1" applyFont="1" applyFill="1" applyBorder="1" applyAlignment="1">
      <alignment vertical="center"/>
    </xf>
    <xf numFmtId="182" fontId="43" fillId="0" borderId="22" xfId="0" applyNumberFormat="1" applyFont="1" applyBorder="1" applyAlignment="1">
      <alignment vertical="center"/>
    </xf>
    <xf numFmtId="0" fontId="45" fillId="0" borderId="39" xfId="0" applyNumberFormat="1" applyFont="1" applyBorder="1" applyAlignment="1">
      <alignment horizontal="center" vertical="center"/>
    </xf>
    <xf numFmtId="182" fontId="43" fillId="0" borderId="39" xfId="0" applyNumberFormat="1" applyFont="1" applyBorder="1" applyAlignment="1">
      <alignment vertical="center"/>
    </xf>
    <xf numFmtId="182" fontId="43" fillId="30" borderId="33" xfId="0" applyNumberFormat="1" applyFont="1" applyFill="1" applyBorder="1" applyAlignment="1">
      <alignment vertical="center"/>
    </xf>
    <xf numFmtId="181" fontId="43" fillId="0" borderId="30" xfId="0" applyNumberFormat="1" applyFont="1" applyBorder="1" applyAlignment="1">
      <alignment vertical="center"/>
    </xf>
    <xf numFmtId="180" fontId="45" fillId="0" borderId="49" xfId="0" applyNumberFormat="1" applyFont="1" applyBorder="1" applyAlignment="1">
      <alignment horizontal="center" vertical="center"/>
    </xf>
    <xf numFmtId="0" fontId="45" fillId="0" borderId="50" xfId="0" applyNumberFormat="1" applyFont="1" applyBorder="1" applyAlignment="1">
      <alignment horizontal="center" vertical="center"/>
    </xf>
    <xf numFmtId="182" fontId="43" fillId="0" borderId="51" xfId="0" applyNumberFormat="1" applyFont="1" applyBorder="1" applyAlignment="1">
      <alignment vertical="center"/>
    </xf>
    <xf numFmtId="181" fontId="43" fillId="0" borderId="52" xfId="0" applyNumberFormat="1" applyFont="1" applyBorder="1" applyAlignment="1">
      <alignment vertical="center"/>
    </xf>
    <xf numFmtId="182" fontId="43" fillId="0" borderId="49" xfId="0" applyNumberFormat="1" applyFont="1" applyBorder="1" applyAlignment="1">
      <alignment vertical="center"/>
    </xf>
    <xf numFmtId="181" fontId="43" fillId="0" borderId="53" xfId="0" applyNumberFormat="1" applyFont="1" applyBorder="1" applyAlignment="1">
      <alignment vertical="center"/>
    </xf>
    <xf numFmtId="182" fontId="45" fillId="0" borderId="50" xfId="0" applyNumberFormat="1" applyFont="1" applyBorder="1" applyAlignment="1">
      <alignment vertical="center"/>
    </xf>
    <xf numFmtId="182" fontId="43" fillId="0" borderId="25" xfId="0" applyNumberFormat="1" applyFont="1" applyBorder="1" applyAlignment="1">
      <alignment vertical="center"/>
    </xf>
    <xf numFmtId="181" fontId="43" fillId="0" borderId="55" xfId="0" applyNumberFormat="1" applyFont="1" applyBorder="1" applyAlignment="1">
      <alignment vertical="center"/>
    </xf>
    <xf numFmtId="182" fontId="43" fillId="0" borderId="48" xfId="0" applyNumberFormat="1" applyFont="1" applyBorder="1" applyAlignment="1">
      <alignment vertical="center"/>
    </xf>
    <xf numFmtId="181" fontId="43" fillId="0" borderId="56" xfId="0" applyNumberFormat="1" applyFont="1" applyBorder="1" applyAlignment="1">
      <alignment vertical="center"/>
    </xf>
    <xf numFmtId="182" fontId="43" fillId="0" borderId="57" xfId="0" applyNumberFormat="1" applyFont="1" applyBorder="1" applyAlignment="1">
      <alignment vertical="center"/>
    </xf>
    <xf numFmtId="181" fontId="43" fillId="0" borderId="58" xfId="0" applyNumberFormat="1" applyFont="1" applyBorder="1" applyAlignment="1">
      <alignment vertical="center"/>
    </xf>
    <xf numFmtId="0" fontId="50" fillId="0" borderId="0" xfId="0" applyNumberFormat="1" applyFont="1" applyAlignment="1">
      <alignment vertical="center"/>
    </xf>
    <xf numFmtId="0" fontId="53" fillId="0" borderId="0" xfId="0" applyFont="1" applyAlignment="1">
      <alignment horizontal="left" vertical="center"/>
    </xf>
    <xf numFmtId="0" fontId="50" fillId="0" borderId="0" xfId="0" applyFont="1" applyAlignment="1">
      <alignment horizontal="right" vertical="center"/>
    </xf>
    <xf numFmtId="0" fontId="50" fillId="0" borderId="19" xfId="0" applyNumberFormat="1" applyFont="1" applyBorder="1" applyAlignment="1">
      <alignment vertical="center"/>
    </xf>
    <xf numFmtId="0" fontId="52" fillId="0" borderId="19" xfId="0" applyNumberFormat="1" applyFont="1" applyBorder="1" applyAlignment="1">
      <alignment horizontal="center" vertical="center"/>
    </xf>
    <xf numFmtId="180" fontId="50" fillId="0" borderId="19" xfId="0" applyNumberFormat="1" applyFont="1" applyBorder="1" applyAlignment="1">
      <alignment vertical="center"/>
    </xf>
    <xf numFmtId="0" fontId="52" fillId="0" borderId="33" xfId="0" applyNumberFormat="1" applyFont="1" applyBorder="1" applyAlignment="1">
      <alignment horizontal="center" vertical="center"/>
    </xf>
    <xf numFmtId="0" fontId="50" fillId="0" borderId="33" xfId="0" applyNumberFormat="1" applyFont="1" applyBorder="1" applyAlignment="1">
      <alignment vertical="center"/>
    </xf>
    <xf numFmtId="0" fontId="50" fillId="0" borderId="34" xfId="0" applyNumberFormat="1" applyFont="1" applyBorder="1" applyAlignment="1">
      <alignment vertical="center"/>
    </xf>
    <xf numFmtId="0" fontId="50" fillId="0" borderId="35" xfId="0" applyNumberFormat="1" applyFont="1" applyBorder="1" applyAlignment="1">
      <alignment vertical="center"/>
    </xf>
    <xf numFmtId="0" fontId="52" fillId="0" borderId="38" xfId="0" applyNumberFormat="1" applyFont="1" applyBorder="1" applyAlignment="1">
      <alignment horizontal="center" vertical="center"/>
    </xf>
    <xf numFmtId="180" fontId="50" fillId="0" borderId="38" xfId="0" applyNumberFormat="1" applyFont="1" applyBorder="1" applyAlignment="1">
      <alignment vertical="center"/>
    </xf>
    <xf numFmtId="0" fontId="50" fillId="0" borderId="40" xfId="0" applyNumberFormat="1" applyFont="1" applyBorder="1" applyAlignment="1">
      <alignment vertical="center"/>
    </xf>
    <xf numFmtId="180" fontId="50" fillId="0" borderId="33" xfId="0" applyNumberFormat="1" applyFont="1" applyBorder="1" applyAlignment="1">
      <alignment vertical="center"/>
    </xf>
    <xf numFmtId="0" fontId="52" fillId="0" borderId="41" xfId="0" applyNumberFormat="1" applyFont="1" applyBorder="1" applyAlignment="1">
      <alignment horizontal="center" vertical="center"/>
    </xf>
    <xf numFmtId="0" fontId="51" fillId="0" borderId="31" xfId="0" applyNumberFormat="1" applyFont="1" applyFill="1" applyBorder="1" applyAlignment="1">
      <alignment horizontal="center" vertical="center" wrapText="1"/>
    </xf>
    <xf numFmtId="0" fontId="50" fillId="0" borderId="31" xfId="0" applyNumberFormat="1" applyFont="1" applyFill="1" applyBorder="1" applyAlignment="1">
      <alignment horizontal="center" vertical="center"/>
    </xf>
    <xf numFmtId="0" fontId="50" fillId="0" borderId="0" xfId="0" applyNumberFormat="1" applyFont="1" applyAlignment="1">
      <alignment horizontal="center" vertical="center"/>
    </xf>
    <xf numFmtId="0" fontId="0" fillId="36" borderId="61" xfId="0" applyFill="1" applyBorder="1"/>
    <xf numFmtId="0" fontId="0" fillId="36" borderId="62" xfId="0" applyFill="1" applyBorder="1"/>
    <xf numFmtId="0" fontId="0" fillId="36" borderId="36" xfId="0" applyFill="1" applyBorder="1"/>
    <xf numFmtId="0" fontId="0" fillId="36" borderId="60" xfId="0" applyFill="1" applyBorder="1"/>
    <xf numFmtId="0" fontId="45" fillId="0" borderId="0" xfId="0" applyFont="1"/>
    <xf numFmtId="1" fontId="45" fillId="0" borderId="0" xfId="0" applyNumberFormat="1" applyFont="1"/>
    <xf numFmtId="9" fontId="0" fillId="0" borderId="0" xfId="155" applyFont="1" applyAlignment="1"/>
    <xf numFmtId="0" fontId="0" fillId="34" borderId="60" xfId="0" applyFill="1" applyBorder="1" applyAlignment="1">
      <alignment vertical="center"/>
    </xf>
    <xf numFmtId="180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0" fillId="35" borderId="60" xfId="0" applyFill="1" applyBorder="1" applyAlignment="1">
      <alignment vertical="center"/>
    </xf>
    <xf numFmtId="0" fontId="50" fillId="0" borderId="0" xfId="0" applyFont="1" applyAlignment="1">
      <alignment vertical="center"/>
    </xf>
    <xf numFmtId="0" fontId="0" fillId="36" borderId="61" xfId="0" applyFill="1" applyBorder="1" applyAlignment="1">
      <alignment vertical="center"/>
    </xf>
    <xf numFmtId="3" fontId="0" fillId="0" borderId="60" xfId="0" applyNumberFormat="1" applyBorder="1" applyAlignment="1">
      <alignment horizontal="right" vertical="center"/>
    </xf>
    <xf numFmtId="0" fontId="0" fillId="36" borderId="62" xfId="0" applyFill="1" applyBorder="1" applyAlignment="1">
      <alignment vertical="center"/>
    </xf>
    <xf numFmtId="0" fontId="0" fillId="36" borderId="60" xfId="0" applyFill="1" applyBorder="1" applyAlignment="1">
      <alignment vertical="center"/>
    </xf>
    <xf numFmtId="0" fontId="50" fillId="0" borderId="0" xfId="0" applyFont="1" applyAlignment="1">
      <alignment horizontal="left" vertical="center"/>
    </xf>
    <xf numFmtId="0" fontId="50" fillId="0" borderId="0" xfId="0" applyFont="1" applyAlignment="1">
      <alignment horizontal="center" vertical="center"/>
    </xf>
    <xf numFmtId="0" fontId="50" fillId="29" borderId="0" xfId="0" applyFont="1" applyFill="1" applyAlignment="1">
      <alignment vertical="center"/>
    </xf>
    <xf numFmtId="0" fontId="50" fillId="0" borderId="60" xfId="0" applyFont="1" applyBorder="1" applyAlignment="1">
      <alignment vertical="center"/>
    </xf>
    <xf numFmtId="3" fontId="50" fillId="0" borderId="60" xfId="0" applyNumberFormat="1" applyFont="1" applyBorder="1" applyAlignment="1">
      <alignment vertical="center"/>
    </xf>
    <xf numFmtId="3" fontId="50" fillId="0" borderId="0" xfId="0" applyNumberFormat="1" applyFont="1" applyAlignment="1">
      <alignment vertical="center"/>
    </xf>
    <xf numFmtId="0" fontId="53" fillId="0" borderId="0" xfId="0" applyFont="1" applyAlignment="1">
      <alignment vertical="center"/>
    </xf>
    <xf numFmtId="0" fontId="51" fillId="33" borderId="19" xfId="0" applyNumberFormat="1" applyFont="1" applyFill="1" applyBorder="1" applyAlignment="1">
      <alignment horizontal="center" vertical="center" wrapText="1"/>
    </xf>
    <xf numFmtId="0" fontId="50" fillId="0" borderId="6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5" fontId="0" fillId="29" borderId="0" xfId="0" applyNumberFormat="1" applyFill="1"/>
    <xf numFmtId="0" fontId="50" fillId="0" borderId="0" xfId="0" applyFont="1" applyAlignment="1">
      <alignment horizontal="center" vertical="center"/>
    </xf>
    <xf numFmtId="3" fontId="50" fillId="0" borderId="60" xfId="0" applyNumberFormat="1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55" fillId="0" borderId="0" xfId="0" applyFont="1" applyAlignment="1">
      <alignment vertical="center"/>
    </xf>
    <xf numFmtId="0" fontId="55" fillId="0" borderId="60" xfId="0" applyFont="1" applyBorder="1" applyAlignment="1">
      <alignment horizontal="center" vertical="center"/>
    </xf>
    <xf numFmtId="0" fontId="55" fillId="0" borderId="0" xfId="0" applyFont="1" applyBorder="1" applyAlignment="1">
      <alignment horizontal="center" vertical="center"/>
    </xf>
    <xf numFmtId="0" fontId="55" fillId="0" borderId="60" xfId="0" applyFont="1" applyBorder="1" applyAlignment="1">
      <alignment vertical="center"/>
    </xf>
    <xf numFmtId="0" fontId="50" fillId="0" borderId="0" xfId="0" applyFont="1" applyBorder="1" applyAlignment="1">
      <alignment horizontal="center" vertical="center"/>
    </xf>
    <xf numFmtId="0" fontId="55" fillId="0" borderId="0" xfId="0" applyFont="1" applyBorder="1" applyAlignment="1">
      <alignment vertical="center"/>
    </xf>
    <xf numFmtId="0" fontId="55" fillId="0" borderId="0" xfId="0" applyFont="1" applyAlignment="1">
      <alignment horizontal="center" vertical="center"/>
    </xf>
    <xf numFmtId="0" fontId="55" fillId="0" borderId="22" xfId="0" applyFont="1" applyBorder="1" applyAlignment="1">
      <alignment vertical="center"/>
    </xf>
    <xf numFmtId="0" fontId="55" fillId="0" borderId="60" xfId="0" applyFont="1" applyFill="1" applyBorder="1" applyAlignment="1">
      <alignment horizontal="center" vertical="center"/>
    </xf>
    <xf numFmtId="0" fontId="2" fillId="0" borderId="0" xfId="1" applyAlignment="1">
      <alignment vertical="center"/>
    </xf>
    <xf numFmtId="0" fontId="0" fillId="0" borderId="60" xfId="0" applyBorder="1" applyAlignment="1">
      <alignment vertical="center"/>
    </xf>
    <xf numFmtId="181" fontId="0" fillId="0" borderId="60" xfId="0" applyNumberFormat="1" applyBorder="1" applyAlignment="1">
      <alignment vertical="center"/>
    </xf>
    <xf numFmtId="181" fontId="0" fillId="30" borderId="60" xfId="0" applyNumberFormat="1" applyFill="1" applyBorder="1" applyAlignment="1">
      <alignment vertical="center"/>
    </xf>
    <xf numFmtId="0" fontId="0" fillId="0" borderId="60" xfId="0" applyBorder="1" applyAlignment="1">
      <alignment horizontal="center" vertical="center"/>
    </xf>
    <xf numFmtId="3" fontId="0" fillId="0" borderId="60" xfId="0" applyNumberFormat="1" applyBorder="1" applyAlignment="1">
      <alignment vertical="center"/>
    </xf>
    <xf numFmtId="0" fontId="0" fillId="29" borderId="60" xfId="0" applyFill="1" applyBorder="1" applyAlignment="1">
      <alignment vertical="center"/>
    </xf>
    <xf numFmtId="1" fontId="0" fillId="0" borderId="60" xfId="0" applyNumberFormat="1" applyBorder="1" applyAlignment="1">
      <alignment vertical="center"/>
    </xf>
    <xf numFmtId="180" fontId="0" fillId="0" borderId="60" xfId="0" applyNumberFormat="1" applyBorder="1" applyAlignment="1">
      <alignment vertical="center"/>
    </xf>
    <xf numFmtId="180" fontId="0" fillId="30" borderId="60" xfId="0" applyNumberFormat="1" applyFill="1" applyBorder="1" applyAlignment="1">
      <alignment vertical="center"/>
    </xf>
    <xf numFmtId="3" fontId="0" fillId="0" borderId="60" xfId="0" applyNumberFormat="1" applyBorder="1" applyAlignment="1">
      <alignment horizontal="center" vertical="center"/>
    </xf>
    <xf numFmtId="180" fontId="0" fillId="0" borderId="60" xfId="0" applyNumberFormat="1" applyBorder="1" applyAlignment="1">
      <alignment horizontal="center" vertical="center"/>
    </xf>
    <xf numFmtId="0" fontId="57" fillId="0" borderId="0" xfId="0" applyFont="1" applyAlignment="1">
      <alignment vertical="center"/>
    </xf>
    <xf numFmtId="0" fontId="45" fillId="0" borderId="0" xfId="0" applyFont="1" applyAlignment="1">
      <alignment horizontal="right" vertical="center"/>
    </xf>
    <xf numFmtId="181" fontId="0" fillId="29" borderId="60" xfId="0" applyNumberFormat="1" applyFill="1" applyBorder="1" applyAlignment="1">
      <alignment vertical="center"/>
    </xf>
    <xf numFmtId="0" fontId="43" fillId="0" borderId="0" xfId="0" applyFont="1" applyAlignment="1">
      <alignment horizontal="left" vertical="center"/>
    </xf>
    <xf numFmtId="180" fontId="0" fillId="0" borderId="0" xfId="0" applyNumberFormat="1" applyFill="1" applyAlignment="1">
      <alignment vertical="center"/>
    </xf>
    <xf numFmtId="0" fontId="50" fillId="0" borderId="61" xfId="0" applyFont="1" applyBorder="1" applyAlignment="1">
      <alignment horizontal="center" vertical="center"/>
    </xf>
    <xf numFmtId="0" fontId="50" fillId="0" borderId="60" xfId="0" applyFont="1" applyBorder="1" applyAlignment="1">
      <alignment horizontal="right" vertical="center"/>
    </xf>
    <xf numFmtId="0" fontId="50" fillId="29" borderId="60" xfId="0" applyFont="1" applyFill="1" applyBorder="1" applyAlignment="1">
      <alignment horizontal="center" vertical="center"/>
    </xf>
    <xf numFmtId="0" fontId="50" fillId="29" borderId="60" xfId="0" applyFont="1" applyFill="1" applyBorder="1" applyAlignment="1">
      <alignment horizontal="right" vertical="center"/>
    </xf>
    <xf numFmtId="0" fontId="50" fillId="29" borderId="60" xfId="0" applyFont="1" applyFill="1" applyBorder="1" applyAlignment="1">
      <alignment vertical="center"/>
    </xf>
    <xf numFmtId="0" fontId="50" fillId="0" borderId="31" xfId="0" applyNumberFormat="1" applyFont="1" applyFill="1" applyBorder="1" applyAlignment="1">
      <alignment horizontal="center" vertical="center" wrapText="1"/>
    </xf>
    <xf numFmtId="0" fontId="58" fillId="0" borderId="0" xfId="0" applyFont="1" applyAlignment="1">
      <alignment vertical="center"/>
    </xf>
    <xf numFmtId="181" fontId="43" fillId="0" borderId="0" xfId="0" applyNumberFormat="1" applyFont="1" applyAlignment="1">
      <alignment horizontal="left" vertical="center"/>
    </xf>
    <xf numFmtId="0" fontId="43" fillId="0" borderId="0" xfId="0" applyFont="1" applyAlignment="1">
      <alignment vertical="center"/>
    </xf>
    <xf numFmtId="0" fontId="54" fillId="0" borderId="0" xfId="1" applyFont="1"/>
    <xf numFmtId="0" fontId="0" fillId="29" borderId="0" xfId="0" applyFill="1"/>
    <xf numFmtId="0" fontId="2" fillId="0" borderId="0" xfId="1" applyAlignment="1">
      <alignment horizontal="left" vertical="center"/>
    </xf>
    <xf numFmtId="0" fontId="1" fillId="29" borderId="0" xfId="0" applyFont="1" applyFill="1"/>
    <xf numFmtId="0" fontId="53" fillId="0" borderId="0" xfId="0" applyFont="1" applyFill="1" applyAlignment="1">
      <alignment vertical="center"/>
    </xf>
    <xf numFmtId="181" fontId="43" fillId="0" borderId="35" xfId="0" applyNumberFormat="1" applyFont="1" applyFill="1" applyBorder="1" applyAlignment="1">
      <alignment vertical="center"/>
    </xf>
    <xf numFmtId="181" fontId="43" fillId="0" borderId="40" xfId="0" applyNumberFormat="1" applyFont="1" applyFill="1" applyBorder="1" applyAlignment="1">
      <alignment vertical="center"/>
    </xf>
    <xf numFmtId="181" fontId="43" fillId="0" borderId="39" xfId="0" applyNumberFormat="1" applyFont="1" applyFill="1" applyBorder="1" applyAlignment="1">
      <alignment vertical="center"/>
    </xf>
    <xf numFmtId="182" fontId="43" fillId="31" borderId="33" xfId="0" applyNumberFormat="1" applyFont="1" applyFill="1" applyBorder="1" applyAlignment="1">
      <alignment vertical="center"/>
    </xf>
    <xf numFmtId="182" fontId="43" fillId="31" borderId="19" xfId="0" applyNumberFormat="1" applyFont="1" applyFill="1" applyBorder="1" applyAlignment="1">
      <alignment vertical="center"/>
    </xf>
    <xf numFmtId="182" fontId="43" fillId="31" borderId="38" xfId="0" applyNumberFormat="1" applyFont="1" applyFill="1" applyBorder="1" applyAlignment="1">
      <alignment vertical="center"/>
    </xf>
    <xf numFmtId="0" fontId="43" fillId="31" borderId="29" xfId="0" applyNumberFormat="1" applyFont="1" applyFill="1" applyBorder="1" applyAlignment="1">
      <alignment vertical="center"/>
    </xf>
    <xf numFmtId="181" fontId="0" fillId="0" borderId="0" xfId="0" applyNumberFormat="1" applyBorder="1" applyAlignment="1">
      <alignment vertical="center"/>
    </xf>
    <xf numFmtId="10" fontId="0" fillId="0" borderId="0" xfId="0" applyNumberFormat="1" applyAlignment="1">
      <alignment vertical="center"/>
    </xf>
    <xf numFmtId="181" fontId="0" fillId="0" borderId="0" xfId="0" applyNumberFormat="1" applyAlignment="1">
      <alignment vertical="center"/>
    </xf>
    <xf numFmtId="181" fontId="0" fillId="0" borderId="0" xfId="0" applyNumberFormat="1" applyFill="1" applyBorder="1" applyAlignment="1">
      <alignment vertical="center"/>
    </xf>
    <xf numFmtId="0" fontId="59" fillId="0" borderId="0" xfId="0" applyFont="1" applyBorder="1" applyAlignment="1">
      <alignment horizontal="right" vertical="center"/>
    </xf>
    <xf numFmtId="0" fontId="59" fillId="0" borderId="0" xfId="0" applyFont="1" applyAlignment="1">
      <alignment horizontal="center" vertical="center"/>
    </xf>
    <xf numFmtId="0" fontId="0" fillId="34" borderId="60" xfId="0" applyFill="1" applyBorder="1" applyAlignment="1">
      <alignment vertical="center"/>
    </xf>
    <xf numFmtId="181" fontId="61" fillId="0" borderId="0" xfId="0" applyNumberFormat="1" applyFont="1" applyAlignment="1">
      <alignment vertical="center"/>
    </xf>
    <xf numFmtId="10" fontId="61" fillId="0" borderId="0" xfId="0" applyNumberFormat="1" applyFont="1" applyAlignment="1">
      <alignment vertical="center"/>
    </xf>
    <xf numFmtId="181" fontId="60" fillId="0" borderId="0" xfId="0" applyNumberFormat="1" applyFont="1" applyAlignment="1">
      <alignment vertical="center"/>
    </xf>
    <xf numFmtId="180" fontId="0" fillId="30" borderId="0" xfId="0" applyNumberFormat="1" applyFill="1" applyAlignment="1">
      <alignment vertical="center"/>
    </xf>
    <xf numFmtId="0" fontId="61" fillId="0" borderId="0" xfId="0" applyFont="1" applyAlignment="1">
      <alignment vertical="center"/>
    </xf>
    <xf numFmtId="0" fontId="0" fillId="36" borderId="36" xfId="0" applyFill="1" applyBorder="1" applyAlignment="1">
      <alignment vertical="center"/>
    </xf>
    <xf numFmtId="0" fontId="45" fillId="0" borderId="0" xfId="0" applyFont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9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181" fontId="61" fillId="0" borderId="0" xfId="0" applyNumberFormat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3" fontId="0" fillId="0" borderId="0" xfId="0" applyNumberFormat="1" applyBorder="1" applyAlignment="1">
      <alignment horizontal="right" vertical="center"/>
    </xf>
    <xf numFmtId="180" fontId="0" fillId="0" borderId="0" xfId="0" applyNumberFormat="1" applyBorder="1" applyAlignment="1">
      <alignment horizontal="right" vertical="center"/>
    </xf>
    <xf numFmtId="0" fontId="45" fillId="34" borderId="60" xfId="0" applyFont="1" applyFill="1" applyBorder="1" applyAlignment="1">
      <alignment vertical="center"/>
    </xf>
    <xf numFmtId="0" fontId="45" fillId="35" borderId="60" xfId="0" applyFont="1" applyFill="1" applyBorder="1" applyAlignment="1">
      <alignment vertical="center"/>
    </xf>
    <xf numFmtId="3" fontId="45" fillId="0" borderId="0" xfId="0" applyNumberFormat="1" applyFont="1" applyBorder="1" applyAlignment="1">
      <alignment horizontal="right" vertical="center"/>
    </xf>
    <xf numFmtId="181" fontId="0" fillId="0" borderId="0" xfId="0" applyNumberFormat="1" applyFont="1" applyAlignment="1">
      <alignment vertical="center"/>
    </xf>
    <xf numFmtId="181" fontId="60" fillId="0" borderId="0" xfId="0" applyNumberFormat="1" applyFont="1" applyBorder="1" applyAlignment="1">
      <alignment vertical="center"/>
    </xf>
    <xf numFmtId="0" fontId="1" fillId="37" borderId="0" xfId="0" applyFont="1" applyFill="1" applyAlignment="1">
      <alignment horizontal="left"/>
    </xf>
    <xf numFmtId="0" fontId="0" fillId="37" borderId="0" xfId="0" applyFill="1"/>
    <xf numFmtId="0" fontId="45" fillId="37" borderId="0" xfId="0" applyFont="1" applyFill="1" applyAlignment="1">
      <alignment horizontal="left"/>
    </xf>
    <xf numFmtId="0" fontId="45" fillId="0" borderId="0" xfId="0" applyFont="1" applyFill="1"/>
    <xf numFmtId="0" fontId="43" fillId="0" borderId="0" xfId="0" applyFont="1" applyFill="1" applyAlignment="1">
      <alignment horizontal="left" vertical="center"/>
    </xf>
    <xf numFmtId="0" fontId="1" fillId="37" borderId="0" xfId="0" applyFont="1" applyFill="1"/>
    <xf numFmtId="0" fontId="0" fillId="0" borderId="0" xfId="0" applyAlignment="1">
      <alignment vertical="center"/>
    </xf>
    <xf numFmtId="49" fontId="64" fillId="38" borderId="63" xfId="0" applyNumberFormat="1" applyFont="1" applyFill="1" applyBorder="1" applyAlignment="1">
      <alignment horizontal="center" vertical="center" wrapText="1"/>
    </xf>
    <xf numFmtId="0" fontId="64" fillId="0" borderId="63" xfId="0" applyNumberFormat="1" applyFont="1" applyBorder="1" applyAlignment="1">
      <alignment horizontal="left" vertical="center" wrapText="1"/>
    </xf>
    <xf numFmtId="3" fontId="64" fillId="0" borderId="63" xfId="0" applyNumberFormat="1" applyFont="1" applyBorder="1" applyAlignment="1">
      <alignment horizontal="right" vertical="center" wrapText="1"/>
    </xf>
    <xf numFmtId="181" fontId="0" fillId="31" borderId="60" xfId="0" applyNumberFormat="1" applyFill="1" applyBorder="1" applyAlignment="1">
      <alignment vertical="center"/>
    </xf>
    <xf numFmtId="0" fontId="0" fillId="31" borderId="0" xfId="0" applyFill="1" applyAlignment="1">
      <alignment vertical="center"/>
    </xf>
    <xf numFmtId="0" fontId="0" fillId="34" borderId="6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39" borderId="60" xfId="0" applyNumberFormat="1" applyFill="1" applyBorder="1" applyAlignment="1">
      <alignment horizontal="center"/>
    </xf>
    <xf numFmtId="0" fontId="45" fillId="0" borderId="64" xfId="0" applyFont="1" applyBorder="1" applyAlignment="1">
      <alignment vertical="center"/>
    </xf>
    <xf numFmtId="0" fontId="0" fillId="0" borderId="65" xfId="0" applyBorder="1" applyAlignment="1">
      <alignment vertical="center"/>
    </xf>
    <xf numFmtId="0" fontId="0" fillId="30" borderId="65" xfId="0" applyFill="1" applyBorder="1" applyAlignment="1">
      <alignment vertical="center"/>
    </xf>
    <xf numFmtId="0" fontId="0" fillId="30" borderId="66" xfId="0" applyFill="1" applyBorder="1" applyAlignment="1">
      <alignment vertical="center"/>
    </xf>
    <xf numFmtId="0" fontId="0" fillId="0" borderId="0" xfId="0" applyAlignment="1">
      <alignment vertical="center"/>
    </xf>
    <xf numFmtId="0" fontId="67" fillId="0" borderId="0" xfId="158" applyFont="1" applyFill="1" applyAlignment="1">
      <alignment horizontal="center" vertical="center" wrapText="1"/>
    </xf>
    <xf numFmtId="180" fontId="67" fillId="0" borderId="1" xfId="159" applyNumberFormat="1" applyFont="1" applyFill="1" applyBorder="1" applyAlignment="1">
      <alignment vertical="center"/>
    </xf>
    <xf numFmtId="180" fontId="69" fillId="0" borderId="1" xfId="159" applyNumberFormat="1" applyFont="1" applyFill="1" applyBorder="1" applyAlignment="1">
      <alignment vertical="center"/>
    </xf>
    <xf numFmtId="180" fontId="67" fillId="0" borderId="1" xfId="159" applyNumberFormat="1" applyFont="1" applyFill="1" applyBorder="1" applyAlignment="1">
      <alignment horizontal="right" vertical="center"/>
    </xf>
    <xf numFmtId="180" fontId="69" fillId="0" borderId="0" xfId="159" applyNumberFormat="1" applyFont="1" applyFill="1" applyAlignment="1">
      <alignment vertical="center"/>
    </xf>
    <xf numFmtId="180" fontId="67" fillId="0" borderId="0" xfId="159" applyNumberFormat="1" applyFont="1" applyFill="1" applyAlignment="1">
      <alignment vertical="center"/>
    </xf>
    <xf numFmtId="0" fontId="67" fillId="0" borderId="69" xfId="0" applyFont="1" applyFill="1" applyBorder="1" applyAlignment="1">
      <alignment horizontal="center" vertical="center" wrapText="1"/>
    </xf>
    <xf numFmtId="0" fontId="67" fillId="0" borderId="70" xfId="0" applyFont="1" applyFill="1" applyBorder="1" applyAlignment="1">
      <alignment horizontal="center" vertical="center" wrapText="1"/>
    </xf>
    <xf numFmtId="0" fontId="70" fillId="0" borderId="0" xfId="0" applyFont="1"/>
    <xf numFmtId="0" fontId="67" fillId="0" borderId="72" xfId="0" applyFont="1" applyFill="1" applyBorder="1" applyAlignment="1">
      <alignment horizontal="left" vertical="center"/>
    </xf>
    <xf numFmtId="180" fontId="67" fillId="0" borderId="73" xfId="0" applyNumberFormat="1" applyFont="1" applyFill="1" applyBorder="1" applyAlignment="1">
      <alignment vertical="center" shrinkToFit="1"/>
    </xf>
    <xf numFmtId="180" fontId="67" fillId="0" borderId="74" xfId="0" applyNumberFormat="1" applyFont="1" applyFill="1" applyBorder="1" applyAlignment="1">
      <alignment vertical="center" shrinkToFit="1"/>
    </xf>
    <xf numFmtId="0" fontId="67" fillId="0" borderId="72" xfId="0" applyFont="1" applyFill="1" applyBorder="1" applyAlignment="1">
      <alignment horizontal="left" vertical="center" shrinkToFit="1"/>
    </xf>
    <xf numFmtId="180" fontId="67" fillId="0" borderId="0" xfId="0" applyNumberFormat="1" applyFont="1" applyFill="1" applyBorder="1" applyAlignment="1">
      <alignment vertical="center"/>
    </xf>
    <xf numFmtId="0" fontId="67" fillId="0" borderId="76" xfId="0" applyFont="1" applyFill="1" applyBorder="1" applyAlignment="1">
      <alignment horizontal="left" vertical="center"/>
    </xf>
    <xf numFmtId="180" fontId="67" fillId="0" borderId="77" xfId="0" applyNumberFormat="1" applyFont="1" applyFill="1" applyBorder="1" applyAlignment="1">
      <alignment vertical="center" shrinkToFit="1"/>
    </xf>
    <xf numFmtId="186" fontId="67" fillId="0" borderId="0" xfId="0" applyNumberFormat="1" applyFont="1" applyFill="1" applyBorder="1" applyAlignment="1">
      <alignment vertical="center" shrinkToFit="1"/>
    </xf>
    <xf numFmtId="0" fontId="67" fillId="0" borderId="79" xfId="0" applyFont="1" applyFill="1" applyBorder="1" applyAlignment="1">
      <alignment horizontal="left" vertical="center"/>
    </xf>
    <xf numFmtId="186" fontId="67" fillId="0" borderId="77" xfId="0" applyNumberFormat="1" applyFont="1" applyFill="1" applyBorder="1" applyAlignment="1">
      <alignment vertical="center" shrinkToFit="1"/>
    </xf>
    <xf numFmtId="185" fontId="67" fillId="0" borderId="0" xfId="157" applyNumberFormat="1" applyFont="1" applyFill="1" applyBorder="1" applyAlignment="1">
      <alignment vertical="center" shrinkToFit="1"/>
    </xf>
    <xf numFmtId="180" fontId="67" fillId="0" borderId="77" xfId="0" applyNumberFormat="1" applyFont="1" applyFill="1" applyBorder="1" applyAlignment="1">
      <alignment horizontal="right" vertical="center" shrinkToFit="1"/>
    </xf>
    <xf numFmtId="180" fontId="67" fillId="0" borderId="0" xfId="0" applyNumberFormat="1" applyFont="1" applyFill="1" applyBorder="1" applyAlignment="1">
      <alignment horizontal="right" vertical="center" shrinkToFit="1"/>
    </xf>
    <xf numFmtId="180" fontId="67" fillId="0" borderId="0" xfId="0" applyNumberFormat="1" applyFont="1" applyFill="1" applyBorder="1" applyAlignment="1">
      <alignment vertical="center" shrinkToFit="1"/>
    </xf>
    <xf numFmtId="186" fontId="67" fillId="0" borderId="0" xfId="0" applyNumberFormat="1" applyFont="1" applyFill="1" applyBorder="1" applyAlignment="1">
      <alignment horizontal="right" vertical="center" shrinkToFit="1"/>
    </xf>
    <xf numFmtId="0" fontId="70" fillId="0" borderId="0" xfId="0" applyFont="1" applyAlignment="1"/>
    <xf numFmtId="185" fontId="67" fillId="0" borderId="77" xfId="157" applyNumberFormat="1" applyFont="1" applyFill="1" applyBorder="1" applyAlignment="1">
      <alignment horizontal="right" vertical="center" shrinkToFit="1"/>
    </xf>
    <xf numFmtId="185" fontId="67" fillId="0" borderId="0" xfId="157" applyNumberFormat="1" applyFont="1" applyFill="1" applyBorder="1" applyAlignment="1">
      <alignment horizontal="right" vertical="center" shrinkToFit="1"/>
    </xf>
    <xf numFmtId="185" fontId="67" fillId="0" borderId="77" xfId="157" applyNumberFormat="1" applyFont="1" applyFill="1" applyBorder="1" applyAlignment="1">
      <alignment vertical="center" shrinkToFit="1"/>
    </xf>
    <xf numFmtId="186" fontId="67" fillId="0" borderId="77" xfId="0" applyNumberFormat="1" applyFont="1" applyFill="1" applyBorder="1" applyAlignment="1">
      <alignment horizontal="right" vertical="center" shrinkToFit="1"/>
    </xf>
    <xf numFmtId="0" fontId="70" fillId="0" borderId="0" xfId="0" applyFont="1" applyBorder="1" applyAlignment="1"/>
    <xf numFmtId="0" fontId="70" fillId="0" borderId="0" xfId="0" applyFont="1" applyBorder="1"/>
    <xf numFmtId="0" fontId="67" fillId="0" borderId="0" xfId="0" applyFont="1" applyFill="1"/>
    <xf numFmtId="0" fontId="67" fillId="0" borderId="0" xfId="0" applyFont="1" applyFill="1" applyAlignment="1"/>
    <xf numFmtId="0" fontId="67" fillId="0" borderId="0" xfId="0" applyFont="1" applyFill="1" applyBorder="1" applyAlignment="1"/>
    <xf numFmtId="0" fontId="67" fillId="0" borderId="0" xfId="0" applyFont="1" applyFill="1" applyBorder="1"/>
    <xf numFmtId="0" fontId="67" fillId="0" borderId="0" xfId="0" applyFont="1" applyFill="1" applyBorder="1" applyAlignment="1">
      <alignment horizontal="left" vertical="center" shrinkToFit="1"/>
    </xf>
    <xf numFmtId="180" fontId="69" fillId="0" borderId="0" xfId="0" applyNumberFormat="1" applyFont="1" applyFill="1" applyBorder="1" applyAlignment="1">
      <alignment vertical="center"/>
    </xf>
    <xf numFmtId="0" fontId="67" fillId="0" borderId="0" xfId="0" applyFont="1" applyFill="1" applyBorder="1" applyAlignment="1">
      <alignment horizontal="left" vertical="center"/>
    </xf>
    <xf numFmtId="186" fontId="67" fillId="0" borderId="0" xfId="0" applyNumberFormat="1" applyFont="1" applyFill="1" applyBorder="1" applyAlignment="1">
      <alignment vertical="center"/>
    </xf>
    <xf numFmtId="186" fontId="69" fillId="0" borderId="0" xfId="0" applyNumberFormat="1" applyFont="1" applyFill="1" applyBorder="1" applyAlignment="1">
      <alignment vertical="center"/>
    </xf>
    <xf numFmtId="41" fontId="67" fillId="0" borderId="77" xfId="156" applyFont="1" applyFill="1" applyBorder="1" applyAlignment="1">
      <alignment horizontal="right" vertical="center" shrinkToFit="1"/>
    </xf>
    <xf numFmtId="41" fontId="67" fillId="0" borderId="0" xfId="156" applyFont="1" applyFill="1" applyBorder="1" applyAlignment="1">
      <alignment horizontal="right" vertical="center" shrinkToFit="1"/>
    </xf>
    <xf numFmtId="41" fontId="67" fillId="0" borderId="77" xfId="156" applyFont="1" applyFill="1" applyBorder="1" applyAlignment="1">
      <alignment vertical="center" shrinkToFit="1"/>
    </xf>
    <xf numFmtId="41" fontId="67" fillId="0" borderId="0" xfId="156" applyFont="1" applyFill="1" applyBorder="1" applyAlignment="1">
      <alignment vertical="center" shrinkToFit="1"/>
    </xf>
    <xf numFmtId="0" fontId="71" fillId="0" borderId="0" xfId="0" applyFont="1" applyFill="1" applyBorder="1" applyAlignment="1"/>
    <xf numFmtId="0" fontId="71" fillId="0" borderId="0" xfId="0" applyFont="1" applyFill="1" applyBorder="1"/>
    <xf numFmtId="0" fontId="71" fillId="0" borderId="0" xfId="0" applyFont="1" applyFill="1"/>
    <xf numFmtId="0" fontId="71" fillId="0" borderId="0" xfId="0" applyFont="1" applyFill="1" applyAlignment="1"/>
    <xf numFmtId="181" fontId="67" fillId="0" borderId="0" xfId="160" applyNumberFormat="1" applyFont="1" applyFill="1" applyBorder="1" applyAlignment="1">
      <alignment horizontal="right" vertical="center" shrinkToFit="1"/>
    </xf>
    <xf numFmtId="181" fontId="67" fillId="0" borderId="0" xfId="160" applyNumberFormat="1" applyFont="1" applyFill="1" applyBorder="1" applyAlignment="1">
      <alignment vertical="center" shrinkToFit="1"/>
    </xf>
    <xf numFmtId="0" fontId="72" fillId="0" borderId="0" xfId="0" applyFont="1" applyFill="1"/>
    <xf numFmtId="0" fontId="72" fillId="0" borderId="0" xfId="0" applyFont="1" applyFill="1" applyAlignment="1"/>
    <xf numFmtId="0" fontId="73" fillId="0" borderId="0" xfId="0" applyFont="1" applyFill="1"/>
    <xf numFmtId="0" fontId="73" fillId="0" borderId="0" xfId="0" applyFont="1" applyFill="1" applyAlignment="1"/>
    <xf numFmtId="0" fontId="67" fillId="0" borderId="76" xfId="0" applyFont="1" applyFill="1" applyBorder="1" applyAlignment="1">
      <alignment horizontal="left" vertical="center" shrinkToFit="1"/>
    </xf>
    <xf numFmtId="180" fontId="74" fillId="0" borderId="77" xfId="0" applyNumberFormat="1" applyFont="1" applyFill="1" applyBorder="1" applyAlignment="1">
      <alignment vertical="center" shrinkToFit="1"/>
    </xf>
    <xf numFmtId="180" fontId="74" fillId="0" borderId="0" xfId="0" applyNumberFormat="1" applyFont="1" applyFill="1" applyBorder="1" applyAlignment="1">
      <alignment vertical="center" shrinkToFit="1"/>
    </xf>
    <xf numFmtId="180" fontId="73" fillId="0" borderId="0" xfId="0" applyNumberFormat="1" applyFont="1" applyFill="1"/>
    <xf numFmtId="186" fontId="74" fillId="0" borderId="77" xfId="0" applyNumberFormat="1" applyFont="1" applyFill="1" applyBorder="1" applyAlignment="1">
      <alignment vertical="center" shrinkToFit="1"/>
    </xf>
    <xf numFmtId="186" fontId="74" fillId="0" borderId="0" xfId="0" applyNumberFormat="1" applyFont="1" applyFill="1" applyBorder="1" applyAlignment="1">
      <alignment vertical="center" shrinkToFit="1"/>
    </xf>
    <xf numFmtId="186" fontId="73" fillId="0" borderId="0" xfId="0" applyNumberFormat="1" applyFont="1" applyFill="1"/>
    <xf numFmtId="187" fontId="73" fillId="0" borderId="0" xfId="0" applyNumberFormat="1" applyFont="1" applyFill="1"/>
    <xf numFmtId="186" fontId="73" fillId="0" borderId="0" xfId="0" applyNumberFormat="1" applyFont="1" applyFill="1" applyAlignment="1"/>
    <xf numFmtId="185" fontId="67" fillId="0" borderId="0" xfId="0" applyNumberFormat="1" applyFont="1" applyFill="1" applyBorder="1" applyAlignment="1">
      <alignment horizontal="right" vertical="center"/>
    </xf>
    <xf numFmtId="185" fontId="67" fillId="0" borderId="0" xfId="0" applyNumberFormat="1" applyFont="1" applyFill="1" applyBorder="1" applyAlignment="1">
      <alignment vertical="center"/>
    </xf>
    <xf numFmtId="0" fontId="69" fillId="0" borderId="76" xfId="0" applyFont="1" applyFill="1" applyBorder="1" applyAlignment="1">
      <alignment horizontal="left" vertical="center"/>
    </xf>
    <xf numFmtId="41" fontId="69" fillId="0" borderId="0" xfId="156" applyFont="1" applyFill="1" applyBorder="1" applyAlignment="1">
      <alignment horizontal="right" vertical="center" shrinkToFit="1"/>
    </xf>
    <xf numFmtId="181" fontId="69" fillId="0" borderId="0" xfId="160" applyNumberFormat="1" applyFont="1" applyFill="1" applyBorder="1" applyAlignment="1">
      <alignment horizontal="right" vertical="center" shrinkToFit="1"/>
    </xf>
    <xf numFmtId="41" fontId="69" fillId="0" borderId="0" xfId="156" applyFont="1" applyFill="1" applyBorder="1" applyAlignment="1">
      <alignment vertical="center" shrinkToFit="1"/>
    </xf>
    <xf numFmtId="188" fontId="69" fillId="0" borderId="0" xfId="0" applyNumberFormat="1" applyFont="1" applyFill="1" applyBorder="1" applyAlignment="1">
      <alignment horizontal="right" vertical="center" shrinkToFit="1"/>
    </xf>
    <xf numFmtId="185" fontId="69" fillId="0" borderId="0" xfId="0" applyNumberFormat="1" applyFont="1" applyFill="1" applyBorder="1" applyAlignment="1">
      <alignment vertical="center" shrinkToFit="1"/>
    </xf>
    <xf numFmtId="0" fontId="69" fillId="0" borderId="81" xfId="0" applyFont="1" applyFill="1" applyBorder="1" applyAlignment="1">
      <alignment horizontal="left" vertical="center"/>
    </xf>
    <xf numFmtId="188" fontId="69" fillId="0" borderId="1" xfId="0" applyNumberFormat="1" applyFont="1" applyFill="1" applyBorder="1" applyAlignment="1">
      <alignment horizontal="right" vertical="center" shrinkToFit="1"/>
    </xf>
    <xf numFmtId="185" fontId="69" fillId="0" borderId="1" xfId="0" applyNumberFormat="1" applyFont="1" applyFill="1" applyBorder="1" applyAlignment="1">
      <alignment horizontal="right" vertical="center" shrinkToFit="1"/>
    </xf>
    <xf numFmtId="185" fontId="69" fillId="0" borderId="1" xfId="0" applyNumberFormat="1" applyFont="1" applyFill="1" applyBorder="1" applyAlignment="1">
      <alignment vertical="center" shrinkToFit="1"/>
    </xf>
    <xf numFmtId="185" fontId="69" fillId="0" borderId="1" xfId="0" applyNumberFormat="1" applyFont="1" applyFill="1" applyBorder="1" applyAlignment="1">
      <alignment horizontal="right" vertical="center"/>
    </xf>
    <xf numFmtId="0" fontId="67" fillId="0" borderId="0" xfId="0" applyFont="1"/>
    <xf numFmtId="0" fontId="71" fillId="0" borderId="0" xfId="0" applyFont="1"/>
    <xf numFmtId="0" fontId="69" fillId="0" borderId="0" xfId="0" applyFont="1"/>
    <xf numFmtId="0" fontId="75" fillId="0" borderId="0" xfId="0" applyFont="1"/>
    <xf numFmtId="0" fontId="0" fillId="0" borderId="0" xfId="0" applyAlignment="1">
      <alignment horizontal="right" vertical="center"/>
    </xf>
    <xf numFmtId="0" fontId="0" fillId="0" borderId="82" xfId="0" applyBorder="1" applyAlignment="1">
      <alignment vertical="center"/>
    </xf>
    <xf numFmtId="0" fontId="45" fillId="0" borderId="83" xfId="0" applyFont="1" applyBorder="1" applyAlignment="1">
      <alignment horizontal="center" vertical="center"/>
    </xf>
    <xf numFmtId="0" fontId="45" fillId="0" borderId="84" xfId="0" applyFont="1" applyBorder="1" applyAlignment="1">
      <alignment horizontal="center" vertical="center"/>
    </xf>
    <xf numFmtId="0" fontId="0" fillId="0" borderId="85" xfId="0" applyBorder="1" applyAlignment="1">
      <alignment vertical="center"/>
    </xf>
    <xf numFmtId="180" fontId="0" fillId="0" borderId="0" xfId="0" applyNumberFormat="1" applyBorder="1" applyAlignment="1">
      <alignment vertical="center"/>
    </xf>
    <xf numFmtId="180" fontId="0" fillId="0" borderId="86" xfId="0" applyNumberFormat="1" applyBorder="1" applyAlignment="1">
      <alignment vertical="center"/>
    </xf>
    <xf numFmtId="0" fontId="0" fillId="0" borderId="87" xfId="0" applyBorder="1" applyAlignment="1">
      <alignment vertical="center"/>
    </xf>
    <xf numFmtId="180" fontId="0" fillId="0" borderId="47" xfId="0" applyNumberFormat="1" applyBorder="1" applyAlignment="1">
      <alignment vertical="center"/>
    </xf>
    <xf numFmtId="180" fontId="0" fillId="0" borderId="88" xfId="0" applyNumberFormat="1" applyBorder="1" applyAlignment="1">
      <alignment vertical="center"/>
    </xf>
    <xf numFmtId="0" fontId="45" fillId="0" borderId="89" xfId="0" applyFont="1" applyBorder="1" applyAlignment="1">
      <alignment horizontal="center" vertical="center"/>
    </xf>
    <xf numFmtId="184" fontId="0" fillId="0" borderId="89" xfId="0" applyNumberFormat="1" applyBorder="1" applyAlignment="1">
      <alignment vertical="center"/>
    </xf>
    <xf numFmtId="180" fontId="0" fillId="0" borderId="89" xfId="0" applyNumberFormat="1" applyBorder="1" applyAlignment="1">
      <alignment vertical="center"/>
    </xf>
    <xf numFmtId="184" fontId="0" fillId="0" borderId="0" xfId="0" applyNumberFormat="1" applyAlignment="1">
      <alignment vertical="center"/>
    </xf>
    <xf numFmtId="0" fontId="0" fillId="0" borderId="89" xfId="0" applyBorder="1" applyAlignment="1">
      <alignment vertical="center"/>
    </xf>
    <xf numFmtId="184" fontId="0" fillId="31" borderId="0" xfId="0" applyNumberFormat="1" applyFill="1" applyAlignment="1">
      <alignment vertical="center"/>
    </xf>
    <xf numFmtId="0" fontId="78" fillId="0" borderId="0" xfId="0" applyFont="1" applyAlignment="1">
      <alignment vertical="center"/>
    </xf>
    <xf numFmtId="0" fontId="0" fillId="0" borderId="89" xfId="0" applyBorder="1" applyAlignment="1">
      <alignment horizontal="center" vertical="center"/>
    </xf>
    <xf numFmtId="181" fontId="0" fillId="0" borderId="89" xfId="0" applyNumberFormat="1" applyBorder="1" applyAlignment="1">
      <alignment vertical="center"/>
    </xf>
    <xf numFmtId="180" fontId="0" fillId="0" borderId="60" xfId="0" applyNumberFormat="1" applyFill="1" applyBorder="1" applyAlignment="1">
      <alignment vertical="center"/>
    </xf>
    <xf numFmtId="181" fontId="60" fillId="30" borderId="89" xfId="0" applyNumberFormat="1" applyFont="1" applyFill="1" applyBorder="1" applyAlignment="1">
      <alignment vertical="center"/>
    </xf>
    <xf numFmtId="0" fontId="45" fillId="37" borderId="0" xfId="0" applyFont="1" applyFill="1"/>
    <xf numFmtId="181" fontId="0" fillId="31" borderId="89" xfId="0" applyNumberFormat="1" applyFill="1" applyBorder="1" applyAlignment="1">
      <alignment vertical="center"/>
    </xf>
    <xf numFmtId="180" fontId="0" fillId="31" borderId="89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180" fontId="60" fillId="0" borderId="0" xfId="0" applyNumberFormat="1" applyFont="1" applyFill="1" applyAlignment="1">
      <alignment vertical="center"/>
    </xf>
    <xf numFmtId="180" fontId="0" fillId="0" borderId="47" xfId="0" applyNumberFormat="1" applyFill="1" applyBorder="1" applyAlignment="1">
      <alignment vertical="center"/>
    </xf>
    <xf numFmtId="180" fontId="0" fillId="0" borderId="88" xfId="0" applyNumberFormat="1" applyFill="1" applyBorder="1" applyAlignment="1">
      <alignment vertical="center"/>
    </xf>
    <xf numFmtId="0" fontId="45" fillId="0" borderId="89" xfId="0" applyFont="1" applyBorder="1" applyAlignment="1">
      <alignment horizontal="center" vertical="center"/>
    </xf>
    <xf numFmtId="0" fontId="0" fillId="39" borderId="89" xfId="0" applyNumberFormat="1" applyFill="1" applyBorder="1" applyAlignment="1">
      <alignment horizontal="center"/>
    </xf>
    <xf numFmtId="181" fontId="0" fillId="0" borderId="89" xfId="0" applyNumberFormat="1" applyBorder="1" applyAlignment="1">
      <alignment horizontal="right"/>
    </xf>
    <xf numFmtId="181" fontId="0" fillId="0" borderId="60" xfId="0" applyNumberFormat="1" applyBorder="1" applyAlignment="1">
      <alignment horizontal="right"/>
    </xf>
    <xf numFmtId="0" fontId="2" fillId="0" borderId="0" xfId="1" applyFill="1"/>
    <xf numFmtId="0" fontId="0" fillId="40" borderId="0" xfId="0" applyFill="1"/>
    <xf numFmtId="0" fontId="0" fillId="0" borderId="0" xfId="0" applyFill="1"/>
    <xf numFmtId="185" fontId="0" fillId="0" borderId="0" xfId="0" applyNumberFormat="1" applyFill="1"/>
    <xf numFmtId="184" fontId="0" fillId="0" borderId="89" xfId="0" applyNumberFormat="1" applyBorder="1"/>
    <xf numFmtId="180" fontId="0" fillId="0" borderId="89" xfId="0" applyNumberFormat="1" applyBorder="1"/>
    <xf numFmtId="0" fontId="50" fillId="0" borderId="60" xfId="0" applyFont="1" applyFill="1" applyBorder="1" applyAlignment="1">
      <alignment vertical="center"/>
    </xf>
    <xf numFmtId="0" fontId="53" fillId="29" borderId="20" xfId="0" applyFont="1" applyFill="1" applyBorder="1" applyAlignment="1">
      <alignment horizontal="center" vertical="center"/>
    </xf>
    <xf numFmtId="0" fontId="53" fillId="0" borderId="0" xfId="0" applyFont="1" applyBorder="1" applyAlignment="1">
      <alignment vertical="center"/>
    </xf>
    <xf numFmtId="0" fontId="50" fillId="0" borderId="0" xfId="0" applyFont="1" applyBorder="1" applyAlignment="1">
      <alignment vertical="center"/>
    </xf>
    <xf numFmtId="0" fontId="0" fillId="35" borderId="60" xfId="0" applyNumberFormat="1" applyFill="1" applyBorder="1" applyAlignment="1">
      <alignment vertical="center"/>
    </xf>
    <xf numFmtId="189" fontId="0" fillId="0" borderId="0" xfId="0" applyNumberFormat="1"/>
    <xf numFmtId="0" fontId="0" fillId="0" borderId="0" xfId="0" applyAlignment="1">
      <alignment vertical="center"/>
    </xf>
    <xf numFmtId="180" fontId="60" fillId="41" borderId="60" xfId="0" applyNumberFormat="1" applyFont="1" applyFill="1" applyBorder="1" applyAlignment="1">
      <alignment vertical="center"/>
    </xf>
    <xf numFmtId="0" fontId="60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56" fillId="33" borderId="0" xfId="0" applyNumberFormat="1" applyFont="1" applyFill="1" applyBorder="1" applyAlignment="1">
      <alignment horizontal="left" vertical="center" wrapText="1"/>
    </xf>
    <xf numFmtId="0" fontId="52" fillId="0" borderId="26" xfId="0" applyNumberFormat="1" applyFont="1" applyBorder="1" applyAlignment="1">
      <alignment horizontal="center" vertical="center"/>
    </xf>
    <xf numFmtId="0" fontId="52" fillId="0" borderId="20" xfId="0" applyNumberFormat="1" applyFont="1" applyBorder="1" applyAlignment="1">
      <alignment horizontal="center" vertical="center"/>
    </xf>
    <xf numFmtId="0" fontId="52" fillId="0" borderId="42" xfId="0" applyNumberFormat="1" applyFont="1" applyBorder="1" applyAlignment="1">
      <alignment horizontal="center" vertical="center"/>
    </xf>
    <xf numFmtId="0" fontId="52" fillId="0" borderId="19" xfId="0" applyNumberFormat="1" applyFont="1" applyBorder="1" applyAlignment="1">
      <alignment horizontal="center" vertical="center"/>
    </xf>
    <xf numFmtId="0" fontId="52" fillId="0" borderId="43" xfId="0" applyNumberFormat="1" applyFont="1" applyBorder="1" applyAlignment="1">
      <alignment horizontal="center" vertical="center"/>
    </xf>
    <xf numFmtId="0" fontId="52" fillId="0" borderId="41" xfId="0" applyNumberFormat="1" applyFont="1" applyBorder="1" applyAlignment="1">
      <alignment horizontal="center" vertical="center"/>
    </xf>
    <xf numFmtId="0" fontId="51" fillId="33" borderId="19" xfId="0" applyNumberFormat="1" applyFont="1" applyFill="1" applyBorder="1" applyAlignment="1">
      <alignment horizontal="center" vertical="center" wrapText="1"/>
    </xf>
    <xf numFmtId="0" fontId="51" fillId="33" borderId="59" xfId="0" applyNumberFormat="1" applyFont="1" applyFill="1" applyBorder="1" applyAlignment="1">
      <alignment horizontal="center" vertical="center" wrapText="1"/>
    </xf>
    <xf numFmtId="0" fontId="51" fillId="33" borderId="31" xfId="0" applyNumberFormat="1" applyFont="1" applyFill="1" applyBorder="1" applyAlignment="1">
      <alignment horizontal="center" vertical="center" wrapText="1"/>
    </xf>
    <xf numFmtId="0" fontId="50" fillId="0" borderId="20" xfId="0" applyNumberFormat="1" applyFont="1" applyBorder="1" applyAlignment="1">
      <alignment horizontal="center" vertical="center"/>
    </xf>
    <xf numFmtId="0" fontId="50" fillId="0" borderId="22" xfId="0" applyNumberFormat="1" applyFont="1" applyBorder="1" applyAlignment="1">
      <alignment horizontal="center" vertical="center"/>
    </xf>
    <xf numFmtId="0" fontId="45" fillId="0" borderId="25" xfId="0" applyNumberFormat="1" applyFont="1" applyBorder="1" applyAlignment="1">
      <alignment horizontal="left" vertical="center"/>
    </xf>
    <xf numFmtId="0" fontId="45" fillId="0" borderId="41" xfId="0" applyNumberFormat="1" applyFont="1" applyBorder="1" applyAlignment="1">
      <alignment horizontal="center" vertical="center"/>
    </xf>
    <xf numFmtId="0" fontId="45" fillId="0" borderId="43" xfId="0" applyNumberFormat="1" applyFont="1" applyBorder="1" applyAlignment="1">
      <alignment horizontal="center" vertical="center"/>
    </xf>
    <xf numFmtId="0" fontId="45" fillId="0" borderId="42" xfId="0" applyNumberFormat="1" applyFont="1" applyBorder="1" applyAlignment="1">
      <alignment horizontal="center" vertical="center"/>
    </xf>
    <xf numFmtId="182" fontId="49" fillId="0" borderId="28" xfId="0" applyNumberFormat="1" applyFont="1" applyBorder="1" applyAlignment="1">
      <alignment horizontal="left" vertical="center"/>
    </xf>
    <xf numFmtId="182" fontId="49" fillId="0" borderId="54" xfId="0" applyNumberFormat="1" applyFont="1" applyBorder="1" applyAlignment="1">
      <alignment horizontal="left" vertical="center"/>
    </xf>
    <xf numFmtId="182" fontId="49" fillId="0" borderId="21" xfId="0" applyNumberFormat="1" applyFont="1" applyBorder="1" applyAlignment="1">
      <alignment horizontal="left" vertical="center"/>
    </xf>
    <xf numFmtId="182" fontId="49" fillId="0" borderId="44" xfId="0" applyNumberFormat="1" applyFont="1" applyBorder="1" applyAlignment="1">
      <alignment horizontal="left" vertical="center"/>
    </xf>
    <xf numFmtId="0" fontId="45" fillId="0" borderId="32" xfId="0" applyNumberFormat="1" applyFont="1" applyBorder="1" applyAlignment="1">
      <alignment horizontal="center" vertical="center"/>
    </xf>
    <xf numFmtId="0" fontId="45" fillId="0" borderId="37" xfId="0" applyNumberFormat="1" applyFont="1" applyBorder="1" applyAlignment="1">
      <alignment horizontal="center" vertical="center"/>
    </xf>
    <xf numFmtId="0" fontId="43" fillId="0" borderId="41" xfId="0" applyNumberFormat="1" applyFont="1" applyBorder="1" applyAlignment="1">
      <alignment horizontal="center" vertical="center"/>
    </xf>
    <xf numFmtId="0" fontId="43" fillId="0" borderId="42" xfId="0" applyNumberFormat="1" applyFont="1" applyBorder="1" applyAlignment="1">
      <alignment horizontal="center" vertical="center"/>
    </xf>
    <xf numFmtId="0" fontId="43" fillId="0" borderId="43" xfId="0" applyNumberFormat="1" applyFont="1" applyBorder="1" applyAlignment="1">
      <alignment horizontal="center" vertical="center"/>
    </xf>
    <xf numFmtId="0" fontId="43" fillId="0" borderId="20" xfId="0" applyNumberFormat="1" applyFont="1" applyBorder="1" applyAlignment="1">
      <alignment horizontal="left" vertical="center"/>
    </xf>
    <xf numFmtId="0" fontId="43" fillId="0" borderId="45" xfId="0" applyNumberFormat="1" applyFont="1" applyBorder="1" applyAlignment="1">
      <alignment horizontal="left" vertical="center"/>
    </xf>
    <xf numFmtId="0" fontId="43" fillId="0" borderId="24" xfId="0" applyNumberFormat="1" applyFont="1" applyBorder="1" applyAlignment="1">
      <alignment horizontal="center" vertical="center"/>
    </xf>
    <xf numFmtId="0" fontId="43" fillId="0" borderId="29" xfId="0" applyNumberFormat="1" applyFont="1" applyBorder="1" applyAlignment="1">
      <alignment horizontal="center" vertical="center"/>
    </xf>
    <xf numFmtId="0" fontId="43" fillId="0" borderId="23" xfId="0" applyNumberFormat="1" applyFont="1" applyBorder="1" applyAlignment="1">
      <alignment horizontal="center" vertical="center"/>
    </xf>
    <xf numFmtId="0" fontId="43" fillId="0" borderId="25" xfId="0" applyNumberFormat="1" applyFont="1" applyBorder="1" applyAlignment="1">
      <alignment horizontal="center" vertical="center"/>
    </xf>
    <xf numFmtId="182" fontId="49" fillId="0" borderId="46" xfId="0" applyNumberFormat="1" applyFont="1" applyBorder="1" applyAlignment="1">
      <alignment horizontal="left" vertical="center"/>
    </xf>
    <xf numFmtId="182" fontId="49" fillId="0" borderId="47" xfId="0" applyNumberFormat="1" applyFont="1" applyBorder="1" applyAlignment="1">
      <alignment horizontal="left" vertical="center"/>
    </xf>
    <xf numFmtId="182" fontId="49" fillId="0" borderId="48" xfId="0" applyNumberFormat="1" applyFont="1" applyBorder="1" applyAlignment="1">
      <alignment horizontal="left" vertical="center"/>
    </xf>
    <xf numFmtId="0" fontId="45" fillId="0" borderId="19" xfId="0" applyNumberFormat="1" applyFont="1" applyBorder="1" applyAlignment="1">
      <alignment horizontal="center" vertical="center"/>
    </xf>
    <xf numFmtId="0" fontId="50" fillId="0" borderId="25" xfId="0" applyFont="1" applyBorder="1" applyAlignment="1">
      <alignment horizontal="left" vertical="center"/>
    </xf>
    <xf numFmtId="0" fontId="50" fillId="0" borderId="60" xfId="0" applyFont="1" applyBorder="1" applyAlignment="1">
      <alignment horizontal="center" vertical="center"/>
    </xf>
    <xf numFmtId="0" fontId="50" fillId="0" borderId="20" xfId="0" applyFont="1" applyBorder="1" applyAlignment="1">
      <alignment horizontal="center" vertical="center"/>
    </xf>
    <xf numFmtId="0" fontId="50" fillId="29" borderId="20" xfId="0" applyFont="1" applyFill="1" applyBorder="1" applyAlignment="1">
      <alignment horizontal="center" vertical="center"/>
    </xf>
    <xf numFmtId="0" fontId="50" fillId="0" borderId="60" xfId="0" applyFont="1" applyBorder="1" applyAlignment="1">
      <alignment horizontal="center" vertical="center" wrapText="1"/>
    </xf>
    <xf numFmtId="0" fontId="66" fillId="0" borderId="0" xfId="158" applyFont="1" applyFill="1" applyAlignment="1">
      <alignment horizontal="center" vertical="top" wrapText="1"/>
    </xf>
    <xf numFmtId="0" fontId="67" fillId="0" borderId="67" xfId="0" applyFont="1" applyFill="1" applyBorder="1" applyAlignment="1">
      <alignment horizontal="left" vertical="center" wrapText="1"/>
    </xf>
    <xf numFmtId="0" fontId="67" fillId="0" borderId="68" xfId="0" applyFont="1" applyFill="1" applyBorder="1" applyAlignment="1">
      <alignment horizontal="left" vertical="center"/>
    </xf>
    <xf numFmtId="0" fontId="67" fillId="0" borderId="71" xfId="0" applyNumberFormat="1" applyFont="1" applyFill="1" applyBorder="1" applyAlignment="1" applyProtection="1">
      <alignment horizontal="center" vertical="center"/>
      <protection locked="0"/>
    </xf>
    <xf numFmtId="0" fontId="67" fillId="0" borderId="75" xfId="0" applyNumberFormat="1" applyFont="1" applyFill="1" applyBorder="1" applyAlignment="1" applyProtection="1">
      <alignment horizontal="center" vertical="center"/>
      <protection locked="0"/>
    </xf>
    <xf numFmtId="0" fontId="67" fillId="0" borderId="78" xfId="0" applyNumberFormat="1" applyFont="1" applyFill="1" applyBorder="1" applyAlignment="1" applyProtection="1">
      <alignment horizontal="center" vertical="center"/>
      <protection locked="0"/>
    </xf>
    <xf numFmtId="0" fontId="67" fillId="0" borderId="75" xfId="0" applyNumberFormat="1" applyFont="1" applyFill="1" applyBorder="1" applyProtection="1">
      <protection locked="0"/>
    </xf>
    <xf numFmtId="0" fontId="67" fillId="0" borderId="78" xfId="0" applyNumberFormat="1" applyFont="1" applyFill="1" applyBorder="1" applyProtection="1">
      <protection locked="0"/>
    </xf>
    <xf numFmtId="0" fontId="67" fillId="0" borderId="0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NumberFormat="1" applyFont="1" applyFill="1" applyBorder="1" applyProtection="1">
      <protection locked="0"/>
    </xf>
    <xf numFmtId="0" fontId="74" fillId="0" borderId="0" xfId="0" applyFont="1" applyBorder="1" applyAlignment="1">
      <alignment horizontal="left" vertical="center" wrapText="1"/>
    </xf>
    <xf numFmtId="0" fontId="69" fillId="0" borderId="75" xfId="0" applyNumberFormat="1" applyFont="1" applyFill="1" applyBorder="1" applyAlignment="1" applyProtection="1">
      <alignment horizontal="center" vertical="center"/>
      <protection locked="0"/>
    </xf>
    <xf numFmtId="0" fontId="69" fillId="0" borderId="80" xfId="0" applyNumberFormat="1" applyFont="1" applyFill="1" applyBorder="1" applyAlignment="1" applyProtection="1">
      <alignment horizontal="center" vertical="center"/>
      <protection locked="0"/>
    </xf>
    <xf numFmtId="0" fontId="45" fillId="0" borderId="89" xfId="0" applyFont="1" applyBorder="1" applyAlignment="1">
      <alignment horizontal="center" vertical="center" wrapText="1"/>
    </xf>
    <xf numFmtId="0" fontId="0" fillId="0" borderId="89" xfId="0" applyBorder="1" applyAlignment="1">
      <alignment horizontal="center" vertical="center"/>
    </xf>
    <xf numFmtId="0" fontId="45" fillId="0" borderId="89" xfId="0" applyFont="1" applyBorder="1" applyAlignment="1">
      <alignment horizontal="center" vertical="center"/>
    </xf>
    <xf numFmtId="0" fontId="50" fillId="0" borderId="60" xfId="0" applyFont="1" applyFill="1" applyBorder="1" applyAlignment="1">
      <alignment horizontal="center" vertical="center"/>
    </xf>
    <xf numFmtId="0" fontId="55" fillId="0" borderId="60" xfId="0" applyFont="1" applyBorder="1" applyAlignment="1">
      <alignment horizontal="center" vertical="center"/>
    </xf>
    <xf numFmtId="0" fontId="55" fillId="0" borderId="60" xfId="0" applyFont="1" applyFill="1" applyBorder="1" applyAlignment="1">
      <alignment horizontal="center" vertical="center"/>
    </xf>
    <xf numFmtId="0" fontId="64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/>
    </xf>
    <xf numFmtId="0" fontId="45" fillId="0" borderId="60" xfId="0" applyFont="1" applyBorder="1" applyAlignment="1">
      <alignment horizontal="center" vertical="center" wrapText="1"/>
    </xf>
    <xf numFmtId="0" fontId="45" fillId="0" borderId="6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0" fillId="36" borderId="60" xfId="0" applyFill="1" applyBorder="1" applyAlignment="1">
      <alignment horizontal="center" vertical="center"/>
    </xf>
    <xf numFmtId="0" fontId="0" fillId="36" borderId="61" xfId="0" applyFill="1" applyBorder="1" applyAlignment="1">
      <alignment horizontal="center" vertical="center"/>
    </xf>
    <xf numFmtId="0" fontId="0" fillId="36" borderId="62" xfId="0" applyFill="1" applyBorder="1" applyAlignment="1">
      <alignment horizontal="center" vertical="center"/>
    </xf>
    <xf numFmtId="0" fontId="0" fillId="36" borderId="36" xfId="0" applyFill="1" applyBorder="1" applyAlignment="1">
      <alignment horizontal="center" vertical="center"/>
    </xf>
    <xf numFmtId="0" fontId="0" fillId="0" borderId="60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54" fillId="0" borderId="0" xfId="0" applyFont="1" applyAlignment="1">
      <alignment vertical="center"/>
    </xf>
  </cellXfs>
  <cellStyles count="161">
    <cellStyle name="1-1" xfId="159" xr:uid="{A20FED22-1485-4DDA-A58D-05A21F387A0A}"/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Body: normal cell" xfId="29" xr:uid="{00000000-0005-0000-0000-000019000000}"/>
    <cellStyle name="Body: normal cell 2" xfId="30" xr:uid="{00000000-0005-0000-0000-00001A000000}"/>
    <cellStyle name="Calculation 2" xfId="31" xr:uid="{00000000-0005-0000-0000-00001B000000}"/>
    <cellStyle name="Check Cell 2" xfId="32" xr:uid="{00000000-0005-0000-0000-00001C000000}"/>
    <cellStyle name="Column heading" xfId="33" xr:uid="{00000000-0005-0000-0000-00001D000000}"/>
    <cellStyle name="Comma 2" xfId="34" xr:uid="{00000000-0005-0000-0000-00001E000000}"/>
    <cellStyle name="Comma 2 2" xfId="35" xr:uid="{00000000-0005-0000-0000-00001F000000}"/>
    <cellStyle name="Comma 3" xfId="36" xr:uid="{00000000-0005-0000-0000-000020000000}"/>
    <cellStyle name="Comma 4" xfId="37" xr:uid="{00000000-0005-0000-0000-000021000000}"/>
    <cellStyle name="Comma 5" xfId="38" xr:uid="{00000000-0005-0000-0000-000022000000}"/>
    <cellStyle name="Comma 6" xfId="39" xr:uid="{00000000-0005-0000-0000-000023000000}"/>
    <cellStyle name="Comma 7" xfId="40" xr:uid="{00000000-0005-0000-0000-000024000000}"/>
    <cellStyle name="Comma 8" xfId="41" xr:uid="{00000000-0005-0000-0000-000025000000}"/>
    <cellStyle name="Corner heading" xfId="42" xr:uid="{00000000-0005-0000-0000-000026000000}"/>
    <cellStyle name="Currency 2" xfId="43" xr:uid="{00000000-0005-0000-0000-000027000000}"/>
    <cellStyle name="Currency 3" xfId="44" xr:uid="{00000000-0005-0000-0000-000028000000}"/>
    <cellStyle name="Currency 3 2" xfId="45" xr:uid="{00000000-0005-0000-0000-000029000000}"/>
    <cellStyle name="Data" xfId="46" xr:uid="{00000000-0005-0000-0000-00002A000000}"/>
    <cellStyle name="Data 2" xfId="47" xr:uid="{00000000-0005-0000-0000-00002B000000}"/>
    <cellStyle name="Data no deci" xfId="48" xr:uid="{00000000-0005-0000-0000-00002C000000}"/>
    <cellStyle name="Data Superscript" xfId="49" xr:uid="{00000000-0005-0000-0000-00002D000000}"/>
    <cellStyle name="Data_1-1A-Regular" xfId="50" xr:uid="{00000000-0005-0000-0000-00002E000000}"/>
    <cellStyle name="Explanatory Text 2" xfId="51" xr:uid="{00000000-0005-0000-0000-00002F000000}"/>
    <cellStyle name="Font: Calibri, 9pt regular" xfId="52" xr:uid="{00000000-0005-0000-0000-000030000000}"/>
    <cellStyle name="Font: Calibri, 9pt regular 2" xfId="53" xr:uid="{00000000-0005-0000-0000-000031000000}"/>
    <cellStyle name="Footnotes: top row" xfId="54" xr:uid="{00000000-0005-0000-0000-000032000000}"/>
    <cellStyle name="Footnotes: top row 2" xfId="55" xr:uid="{00000000-0005-0000-0000-000033000000}"/>
    <cellStyle name="Good 2" xfId="56" xr:uid="{00000000-0005-0000-0000-000034000000}"/>
    <cellStyle name="Header: bottom row" xfId="57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 10" xfId="76" xr:uid="{00000000-0005-0000-0000-00004A000000}"/>
    <cellStyle name="Normal 11" xfId="77" xr:uid="{00000000-0005-0000-0000-00004B000000}"/>
    <cellStyle name="Normal 2" xfId="2" xr:uid="{00000000-0005-0000-0000-00004C000000}"/>
    <cellStyle name="Normal 2 2" xfId="78" xr:uid="{00000000-0005-0000-0000-00004D000000}"/>
    <cellStyle name="Normal 2 3" xfId="79" xr:uid="{00000000-0005-0000-0000-00004E000000}"/>
    <cellStyle name="Normal 3" xfId="3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  <cellStyle name="백분율" xfId="155" builtinId="5"/>
    <cellStyle name="쉼표 [0]" xfId="156" builtinId="6"/>
    <cellStyle name="쉼표 [0] 3" xfId="154" xr:uid="{C0F8F9B3-6376-4075-90B5-595C1BD80115}"/>
    <cellStyle name="제목" xfId="158" builtinId="15"/>
    <cellStyle name="통화 [0]" xfId="157" builtinId="7"/>
    <cellStyle name="표준" xfId="0" builtinId="0"/>
    <cellStyle name="표준 2" xfId="160" xr:uid="{7B50B0F5-3A6A-40A4-8D87-058C5DB11864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148165</xdr:colOff>
      <xdr:row>22</xdr:row>
      <xdr:rowOff>52915</xdr:rowOff>
    </xdr:from>
    <xdr:to>
      <xdr:col>5</xdr:col>
      <xdr:colOff>517279</xdr:colOff>
      <xdr:row>30</xdr:row>
      <xdr:rowOff>48953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828EDB3-1F5C-4BE8-9CCA-2929B1089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165" y="2211915"/>
          <a:ext cx="5830114" cy="19433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.molit.go.kr/portal/stat/yearReport.do" TargetMode="External"/><Relationship Id="rId3" Type="http://schemas.openxmlformats.org/officeDocument/2006/relationships/hyperlink" Target="https://www.data.go.kr/data/15061960/fileData.do" TargetMode="External"/><Relationship Id="rId7" Type="http://schemas.openxmlformats.org/officeDocument/2006/relationships/hyperlink" Target="http://www.keei.re.kr/keei/download/FFS2018.pdf" TargetMode="External"/><Relationship Id="rId2" Type="http://schemas.openxmlformats.org/officeDocument/2006/relationships/hyperlink" Target="https://www.koreascience.or.kr/article/JAKO201022442401158.pdf" TargetMode="External"/><Relationship Id="rId1" Type="http://schemas.openxmlformats.org/officeDocument/2006/relationships/hyperlink" Target="https://tmacs.ts2020.kr/web/TG/TG200/TG2200/Tg1700_01.jsp?mid=S3079" TargetMode="External"/><Relationship Id="rId6" Type="http://schemas.openxmlformats.org/officeDocument/2006/relationships/hyperlink" Target="https://www.ktdb.go.kr/www/selectPblcteWebList.do?key=39&amp;pageUnit=10&amp;pageIndex=1&amp;searchCnd=all" TargetMode="External"/><Relationship Id="rId5" Type="http://schemas.openxmlformats.org/officeDocument/2006/relationships/hyperlink" Target="https://kosis.kr/statHtml/statHtml.do?orgId=116&amp;tblId=DT_MLTM_5376&amp;conn_path=I3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kosis.kr/statHtml/statHtml.do?orgId=116&amp;tblId=DT_MLTM_1062&amp;conn_path=I3" TargetMode="External"/><Relationship Id="rId9" Type="http://schemas.openxmlformats.org/officeDocument/2006/relationships/hyperlink" Target="https://www.kric.go.kr/jsp/handbook/sta/statisticsTechList.jsp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srail.or.kr/cms/archive.do?pageId=KR0401000000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na.co.kr/view/AKR20120214060851003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8"/>
  <sheetViews>
    <sheetView tabSelected="1" workbookViewId="0"/>
  </sheetViews>
  <sheetFormatPr defaultRowHeight="16.5"/>
  <cols>
    <col min="2" max="2" width="9" customWidth="1"/>
  </cols>
  <sheetData>
    <row r="1" spans="1:13">
      <c r="A1" s="1" t="s">
        <v>7</v>
      </c>
    </row>
    <row r="3" spans="1:13">
      <c r="A3" s="1" t="s">
        <v>0</v>
      </c>
      <c r="B3" s="233" t="s">
        <v>991</v>
      </c>
      <c r="C3" s="229"/>
      <c r="D3" s="229"/>
      <c r="E3" s="229"/>
      <c r="J3" s="230" t="s">
        <v>1000</v>
      </c>
      <c r="K3" s="349"/>
      <c r="L3" s="349"/>
      <c r="M3" s="349"/>
    </row>
    <row r="4" spans="1:13">
      <c r="B4" t="s">
        <v>992</v>
      </c>
      <c r="J4" s="151" t="s">
        <v>996</v>
      </c>
    </row>
    <row r="5" spans="1:13">
      <c r="B5" s="2">
        <v>2019</v>
      </c>
      <c r="J5" s="2">
        <v>2020</v>
      </c>
    </row>
    <row r="6" spans="1:13">
      <c r="B6" t="s">
        <v>997</v>
      </c>
      <c r="J6" s="2" t="s">
        <v>1007</v>
      </c>
    </row>
    <row r="7" spans="1:13">
      <c r="B7" s="3" t="s">
        <v>419</v>
      </c>
      <c r="J7" s="15" t="s">
        <v>980</v>
      </c>
    </row>
    <row r="9" spans="1:13">
      <c r="B9" s="230" t="s">
        <v>1004</v>
      </c>
      <c r="C9" s="229"/>
      <c r="D9" s="229"/>
      <c r="E9" s="229"/>
      <c r="J9" s="349" t="s">
        <v>1001</v>
      </c>
      <c r="K9" s="229"/>
      <c r="L9" s="229"/>
      <c r="M9" s="229"/>
    </row>
    <row r="10" spans="1:13">
      <c r="B10" s="2" t="s">
        <v>993</v>
      </c>
      <c r="J10" s="151" t="s">
        <v>996</v>
      </c>
    </row>
    <row r="11" spans="1:13">
      <c r="B11" s="2">
        <v>2021</v>
      </c>
      <c r="J11" s="2">
        <v>2019</v>
      </c>
    </row>
    <row r="12" spans="1:13">
      <c r="B12" s="15" t="s">
        <v>410</v>
      </c>
      <c r="J12" s="2" t="s">
        <v>1008</v>
      </c>
    </row>
    <row r="13" spans="1:13">
      <c r="J13" s="2" t="s">
        <v>984</v>
      </c>
    </row>
    <row r="14" spans="1:13">
      <c r="B14" s="230" t="s">
        <v>1005</v>
      </c>
      <c r="C14" s="229"/>
      <c r="D14" s="229"/>
      <c r="E14" s="229"/>
      <c r="J14" s="360" t="s">
        <v>985</v>
      </c>
    </row>
    <row r="15" spans="1:13">
      <c r="B15" s="2" t="s">
        <v>420</v>
      </c>
      <c r="J15" s="360"/>
    </row>
    <row r="16" spans="1:13">
      <c r="B16" s="2">
        <v>2018</v>
      </c>
      <c r="J16" t="s">
        <v>1002</v>
      </c>
    </row>
    <row r="17" spans="2:10">
      <c r="B17" s="15" t="s">
        <v>423</v>
      </c>
      <c r="J17" t="s">
        <v>986</v>
      </c>
    </row>
    <row r="18" spans="2:10">
      <c r="B18" s="2"/>
    </row>
    <row r="19" spans="2:10">
      <c r="B19" s="230" t="s">
        <v>1006</v>
      </c>
      <c r="C19" s="229"/>
      <c r="D19" s="229"/>
      <c r="E19" s="229"/>
      <c r="J19" t="s">
        <v>1003</v>
      </c>
    </row>
    <row r="20" spans="2:10">
      <c r="B20" s="2" t="s">
        <v>420</v>
      </c>
      <c r="J20" t="s">
        <v>987</v>
      </c>
    </row>
    <row r="21" spans="2:10">
      <c r="B21" s="2">
        <v>2017</v>
      </c>
    </row>
    <row r="22" spans="2:10">
      <c r="B22" s="15" t="s">
        <v>422</v>
      </c>
    </row>
    <row r="24" spans="2:10">
      <c r="B24" s="230" t="s">
        <v>998</v>
      </c>
      <c r="C24" s="229"/>
      <c r="D24" s="229"/>
      <c r="E24" s="229"/>
    </row>
    <row r="25" spans="2:10">
      <c r="B25" s="151" t="s">
        <v>994</v>
      </c>
    </row>
    <row r="26" spans="2:10">
      <c r="B26" s="151">
        <v>2018</v>
      </c>
    </row>
    <row r="27" spans="2:10">
      <c r="B27" s="151" t="s">
        <v>1009</v>
      </c>
    </row>
    <row r="28" spans="2:10">
      <c r="B28" s="189" t="s">
        <v>612</v>
      </c>
    </row>
    <row r="29" spans="2:10">
      <c r="B29" s="151" t="s">
        <v>613</v>
      </c>
    </row>
    <row r="31" spans="2:10">
      <c r="B31" s="232" t="s">
        <v>995</v>
      </c>
      <c r="C31" s="231"/>
      <c r="D31" s="231"/>
      <c r="E31" s="231"/>
    </row>
    <row r="32" spans="2:10">
      <c r="B32" s="151">
        <v>2020</v>
      </c>
    </row>
    <row r="33" spans="1:5">
      <c r="B33" s="151" t="s">
        <v>1010</v>
      </c>
    </row>
    <row r="34" spans="1:5">
      <c r="B34" s="189" t="s">
        <v>428</v>
      </c>
    </row>
    <row r="35" spans="1:5">
      <c r="B35" s="151" t="s">
        <v>622</v>
      </c>
    </row>
    <row r="37" spans="1:5">
      <c r="B37" s="228" t="s">
        <v>999</v>
      </c>
      <c r="C37" s="229"/>
      <c r="D37" s="229"/>
      <c r="E37" s="229"/>
    </row>
    <row r="38" spans="1:5">
      <c r="B38" t="s">
        <v>1011</v>
      </c>
    </row>
    <row r="39" spans="1:5">
      <c r="B39" s="2">
        <v>2013</v>
      </c>
    </row>
    <row r="40" spans="1:5">
      <c r="B40" t="s">
        <v>1012</v>
      </c>
    </row>
    <row r="41" spans="1:5">
      <c r="B41" s="3" t="s">
        <v>221</v>
      </c>
    </row>
    <row r="42" spans="1:5">
      <c r="B42" s="187" t="s">
        <v>424</v>
      </c>
    </row>
    <row r="43" spans="1:5">
      <c r="B43" s="7"/>
    </row>
    <row r="44" spans="1:5">
      <c r="A44" s="1" t="s">
        <v>620</v>
      </c>
      <c r="B44" s="6"/>
    </row>
    <row r="45" spans="1:5">
      <c r="A45" s="190"/>
      <c r="B45" s="6" t="s">
        <v>429</v>
      </c>
    </row>
    <row r="46" spans="1:5">
      <c r="A46" t="s">
        <v>1013</v>
      </c>
      <c r="B46" s="2"/>
      <c r="C46" s="2"/>
    </row>
    <row r="47" spans="1:5">
      <c r="A47" t="s">
        <v>1014</v>
      </c>
      <c r="B47" s="2"/>
      <c r="C47" s="2"/>
    </row>
    <row r="48" spans="1:5">
      <c r="B48" s="2"/>
      <c r="C48" s="2"/>
    </row>
    <row r="49" spans="1:3">
      <c r="A49" t="s">
        <v>1015</v>
      </c>
      <c r="B49" s="2"/>
      <c r="C49" s="2"/>
    </row>
    <row r="50" spans="1:3">
      <c r="A50" t="s">
        <v>1016</v>
      </c>
      <c r="B50" s="2"/>
      <c r="C50" s="2"/>
    </row>
    <row r="51" spans="1:3">
      <c r="B51" s="2"/>
      <c r="C51" s="15"/>
    </row>
    <row r="52" spans="1:3">
      <c r="A52" t="s">
        <v>1017</v>
      </c>
      <c r="B52" s="2"/>
      <c r="C52" s="2"/>
    </row>
    <row r="53" spans="1:3">
      <c r="A53" t="s">
        <v>1020</v>
      </c>
      <c r="B53" s="2"/>
      <c r="C53" s="2"/>
    </row>
    <row r="54" spans="1:3">
      <c r="A54" t="s">
        <v>1018</v>
      </c>
      <c r="B54" s="2"/>
      <c r="C54" s="2"/>
    </row>
    <row r="55" spans="1:3">
      <c r="B55" s="2"/>
      <c r="C55" s="2"/>
    </row>
    <row r="56" spans="1:3">
      <c r="A56" t="s">
        <v>1019</v>
      </c>
      <c r="B56" s="2"/>
      <c r="C56" s="2"/>
    </row>
    <row r="57" spans="1:3">
      <c r="A57" t="s">
        <v>1021</v>
      </c>
      <c r="B57" s="2"/>
      <c r="C57" s="2"/>
    </row>
    <row r="58" spans="1:3">
      <c r="B58" s="2"/>
      <c r="C58" s="14"/>
    </row>
    <row r="59" spans="1:3">
      <c r="A59" t="s">
        <v>1022</v>
      </c>
    </row>
    <row r="62" spans="1:3">
      <c r="A62" t="s">
        <v>8</v>
      </c>
      <c r="B62">
        <v>2019</v>
      </c>
    </row>
    <row r="64" spans="1:3">
      <c r="A64" s="185" t="s">
        <v>21</v>
      </c>
      <c r="B64" s="62">
        <v>0.62137100000000001</v>
      </c>
      <c r="C64" s="176" t="s">
        <v>425</v>
      </c>
    </row>
    <row r="65" spans="1:4">
      <c r="A65" s="40" t="s">
        <v>204</v>
      </c>
      <c r="B65" s="63">
        <v>365</v>
      </c>
      <c r="C65" s="39" t="s">
        <v>214</v>
      </c>
    </row>
    <row r="67" spans="1:4">
      <c r="A67" s="186"/>
      <c r="B67" s="14"/>
      <c r="C67" s="14"/>
      <c r="D67" s="14"/>
    </row>
    <row r="68" spans="1:4">
      <c r="A68" s="186"/>
      <c r="B68" s="14"/>
      <c r="C68" s="14"/>
      <c r="D68" s="14"/>
    </row>
  </sheetData>
  <phoneticPr fontId="42" type="noConversion"/>
  <hyperlinks>
    <hyperlink ref="B7" r:id="rId1" xr:uid="{A66CAB60-A8C1-4524-BDD6-4A05815E4DCC}"/>
    <hyperlink ref="B41" r:id="rId2" xr:uid="{DEB01DE8-9F9C-4D77-A287-7F6E86DB514A}"/>
    <hyperlink ref="B12" r:id="rId3" location="layer_data_information" xr:uid="{08BEDE13-C95C-4790-BBE1-A70B447ED917}"/>
    <hyperlink ref="B22" r:id="rId4" xr:uid="{B925611A-3B22-47C0-88F4-6D3DC6288BD5}"/>
    <hyperlink ref="B17" r:id="rId5" xr:uid="{AAF9B2AF-488B-436F-8011-BCCA9DEE1272}"/>
    <hyperlink ref="B34" r:id="rId6" xr:uid="{C940A254-C0F1-4CE0-AA36-19FC0CD966A5}"/>
    <hyperlink ref="B28" r:id="rId7" xr:uid="{548C3893-E3EA-4591-A46B-3169C482A9E1}"/>
    <hyperlink ref="J7" r:id="rId8" xr:uid="{8D2F80C1-3F75-4304-A941-2F47399CDAB7}"/>
    <hyperlink ref="J14" r:id="rId9" xr:uid="{1193D6B8-C691-4991-A971-6018E7D23B4D}"/>
  </hyperlinks>
  <pageMargins left="0.7" right="0.7" top="0.75" bottom="0.75" header="0.3" footer="0.3"/>
  <pageSetup orientation="portrait" horizontalDpi="1200" verticalDpi="1200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12409-6AEA-470A-854D-2F8F77AE33E3}">
  <dimension ref="A2:N49"/>
  <sheetViews>
    <sheetView workbookViewId="0">
      <selection activeCell="K31" sqref="K31"/>
    </sheetView>
  </sheetViews>
  <sheetFormatPr defaultColWidth="9" defaultRowHeight="16.5"/>
  <cols>
    <col min="1" max="1" width="11.75" style="247" customWidth="1"/>
    <col min="2" max="2" width="9" style="247"/>
    <col min="3" max="4" width="11.5" style="247" bestFit="1" customWidth="1"/>
    <col min="5" max="5" width="9.875" style="247" bestFit="1" customWidth="1"/>
    <col min="6" max="7" width="9" style="247"/>
    <col min="8" max="8" width="8.875" style="247" customWidth="1"/>
    <col min="9" max="9" width="12.625" style="247" customWidth="1"/>
    <col min="10" max="10" width="3.75" style="247" customWidth="1"/>
    <col min="11" max="11" width="4.5" style="247" customWidth="1"/>
    <col min="12" max="12" width="20.25" style="247" customWidth="1"/>
    <col min="13" max="13" width="17" style="247" customWidth="1"/>
    <col min="14" max="14" width="18" style="247" customWidth="1"/>
    <col min="15" max="16" width="9" style="247"/>
    <col min="17" max="17" width="11.125" style="247" bestFit="1" customWidth="1"/>
    <col min="18" max="18" width="18.25" style="247" bestFit="1" customWidth="1"/>
    <col min="19" max="16384" width="9" style="247"/>
  </cols>
  <sheetData>
    <row r="2" spans="2:12" ht="17.25" thickBot="1">
      <c r="D2" s="328" t="s">
        <v>925</v>
      </c>
      <c r="E2" s="247" t="s">
        <v>926</v>
      </c>
      <c r="I2" s="328" t="s">
        <v>925</v>
      </c>
      <c r="J2" s="247" t="s">
        <v>927</v>
      </c>
    </row>
    <row r="3" spans="2:12">
      <c r="B3" s="329"/>
      <c r="C3" s="330" t="s">
        <v>928</v>
      </c>
      <c r="D3" s="331" t="s">
        <v>929</v>
      </c>
      <c r="G3" s="329"/>
      <c r="H3" s="330" t="s">
        <v>928</v>
      </c>
      <c r="I3" s="331" t="s">
        <v>929</v>
      </c>
    </row>
    <row r="4" spans="2:12">
      <c r="B4" s="332">
        <v>2006</v>
      </c>
      <c r="C4" s="333">
        <f>INDEX('Rail-domestic psgr traffic'!$D$13:$D$51,MATCH(B4,'Rail-domestic psgr traffic'!$A$13:$A$51,0))</f>
        <v>969145</v>
      </c>
      <c r="D4" s="334">
        <f>INDEX('Rail-domestic psgr traffic'!$E$13:$E$51,MATCH(B4,'Rail-domestic psgr traffic'!$A$13:$A$51,0))</f>
        <v>2079961</v>
      </c>
      <c r="G4" s="332">
        <v>2006</v>
      </c>
      <c r="H4" s="333">
        <f>INDEX('Rail-domestic psgr traffic'!$L$13:$L$51,MATCH(B4,'Rail-domestic psgr traffic'!$A$13:$A$51,0))</f>
        <v>31416</v>
      </c>
      <c r="I4" s="334">
        <f>INDEX('Rail-domestic psgr traffic'!$M$13:$M$51,MATCH(B4,'Rail-domestic psgr traffic'!$A$13:$A$51,0))</f>
        <v>24110</v>
      </c>
    </row>
    <row r="5" spans="2:12">
      <c r="B5" s="332">
        <v>2007</v>
      </c>
      <c r="C5" s="333">
        <f>INDEX('Rail-domestic psgr traffic'!$D$13:$D$51,MATCH(B5,'Rail-domestic psgr traffic'!$A$13:$A$51,0))</f>
        <v>989294</v>
      </c>
      <c r="D5" s="334">
        <f>INDEX('Rail-domestic psgr traffic'!$E$13:$E$51,MATCH(B5,'Rail-domestic psgr traffic'!$A$13:$A$51,0))</f>
        <v>2090290</v>
      </c>
      <c r="G5" s="332">
        <v>2007</v>
      </c>
      <c r="H5" s="333">
        <f>INDEX('Rail-domestic psgr traffic'!$L$13:$L$51,MATCH(B5,'Rail-domestic psgr traffic'!$A$13:$A$51,0))</f>
        <v>31596</v>
      </c>
      <c r="I5" s="334">
        <f>INDEX('Rail-domestic psgr traffic'!$M$13:$M$51,MATCH(B5,'Rail-domestic psgr traffic'!$A$13:$A$51,0))</f>
        <v>24134</v>
      </c>
    </row>
    <row r="6" spans="2:12">
      <c r="B6" s="332">
        <v>2008</v>
      </c>
      <c r="C6" s="333">
        <f>INDEX('Rail-domestic psgr traffic'!$D$13:$D$51,MATCH(B6,'Rail-domestic psgr traffic'!$A$13:$A$51,0))</f>
        <v>1018977</v>
      </c>
      <c r="D6" s="334">
        <f>INDEX('Rail-domestic psgr traffic'!$E$13:$E$51,MATCH(B6,'Rail-domestic psgr traffic'!$A$13:$A$51,0))</f>
        <v>2141872</v>
      </c>
      <c r="G6" s="332">
        <v>2008</v>
      </c>
      <c r="H6" s="333">
        <f>INDEX('Rail-domestic psgr traffic'!$L$13:$L$51,MATCH(B6,'Rail-domestic psgr traffic'!$A$13:$A$51,0))</f>
        <v>32027</v>
      </c>
      <c r="I6" s="334">
        <f>INDEX('Rail-domestic psgr traffic'!$M$13:$M$51,MATCH(B6,'Rail-domestic psgr traffic'!$A$13:$A$51,0))</f>
        <v>24740</v>
      </c>
    </row>
    <row r="7" spans="2:12">
      <c r="B7" s="332">
        <v>2009</v>
      </c>
      <c r="C7" s="333">
        <f>INDEX('Rail-domestic psgr traffic'!$D$13:$D$51,MATCH(B7,'Rail-domestic psgr traffic'!$A$13:$A$51,0))</f>
        <v>1020319</v>
      </c>
      <c r="D7" s="334">
        <f>INDEX('Rail-domestic psgr traffic'!$E$13:$E$51,MATCH(B7,'Rail-domestic psgr traffic'!$A$13:$A$51,0))</f>
        <v>2181346</v>
      </c>
      <c r="G7" s="332">
        <v>2009</v>
      </c>
      <c r="H7" s="333">
        <f>INDEX('Rail-domestic psgr traffic'!$L$13:$L$51,MATCH(B7,'Rail-domestic psgr traffic'!$A$13:$A$51,0))</f>
        <v>31299</v>
      </c>
      <c r="I7" s="334">
        <f>INDEX('Rail-domestic psgr traffic'!$M$13:$M$51,MATCH(B7,'Rail-domestic psgr traffic'!$A$13:$A$51,0))</f>
        <v>24190</v>
      </c>
    </row>
    <row r="8" spans="2:12">
      <c r="B8" s="332">
        <v>2010</v>
      </c>
      <c r="C8" s="333">
        <f>INDEX('Rail-domestic psgr traffic'!$D$13:$D$51,MATCH(B8,'Rail-domestic psgr traffic'!$A$13:$A$51,0))</f>
        <v>1060941</v>
      </c>
      <c r="D8" s="334">
        <f>INDEX('Rail-domestic psgr traffic'!$E$13:$E$51,MATCH(B8,'Rail-domestic psgr traffic'!$A$13:$A$51,0))</f>
        <v>2273087</v>
      </c>
      <c r="G8" s="332">
        <v>2010</v>
      </c>
      <c r="H8" s="333">
        <f>INDEX('Rail-domestic psgr traffic'!$L$13:$L$51,MATCH(B8,'Rail-domestic psgr traffic'!$A$13:$A$51,0))</f>
        <v>33012</v>
      </c>
      <c r="I8" s="334">
        <f>INDEX('Rail-domestic psgr traffic'!$M$13:$M$51,MATCH(B8,'Rail-domestic psgr traffic'!$A$13:$A$51,0))</f>
        <v>25369</v>
      </c>
    </row>
    <row r="9" spans="2:12">
      <c r="B9" s="332">
        <v>2011</v>
      </c>
      <c r="C9" s="333">
        <f>INDEX('Rail-domestic psgr traffic'!$D$13:$D$51,MATCH(B9,'Rail-domestic psgr traffic'!$A$13:$A$51,0))</f>
        <v>1118621</v>
      </c>
      <c r="D9" s="334">
        <f>INDEX('Rail-domestic psgr traffic'!$E$13:$E$51,MATCH(B9,'Rail-domestic psgr traffic'!$A$13:$A$51,0))</f>
        <v>2358758</v>
      </c>
      <c r="G9" s="332">
        <v>2011</v>
      </c>
      <c r="H9" s="333">
        <f>INDEX('Rail-domestic psgr traffic'!$L$13:$L$51,MATCH(B9,'Rail-domestic psgr traffic'!$A$13:$A$51,0))</f>
        <v>36784</v>
      </c>
      <c r="I9" s="334">
        <f>INDEX('Rail-domestic psgr traffic'!$M$13:$M$51,MATCH(B9,'Rail-domestic psgr traffic'!$A$13:$A$51,0))</f>
        <v>26260</v>
      </c>
    </row>
    <row r="10" spans="2:12">
      <c r="B10" s="332">
        <v>2012</v>
      </c>
      <c r="C10" s="333">
        <f>INDEX('Rail-domestic psgr traffic'!$D$13:$D$51,MATCH(B10,'Rail-domestic psgr traffic'!$A$13:$A$51,0))</f>
        <v>1149340</v>
      </c>
      <c r="D10" s="334">
        <f>INDEX('Rail-domestic psgr traffic'!$E$13:$E$51,MATCH(B10,'Rail-domestic psgr traffic'!$A$13:$A$51,0))</f>
        <v>2410931</v>
      </c>
      <c r="G10" s="332">
        <v>2012</v>
      </c>
      <c r="H10" s="333">
        <f>INDEX('Rail-domestic psgr traffic'!$L$13:$L$51,MATCH(B10,'Rail-domestic psgr traffic'!$A$13:$A$51,0))</f>
        <v>42493</v>
      </c>
      <c r="I10" s="334">
        <f>INDEX('Rail-domestic psgr traffic'!$M$13:$M$51,MATCH(B10,'Rail-domestic psgr traffic'!$A$13:$A$51,0))</f>
        <v>27586</v>
      </c>
    </row>
    <row r="11" spans="2:12">
      <c r="B11" s="332">
        <v>2013</v>
      </c>
      <c r="C11" s="333">
        <f>INDEX('Rail-domestic psgr traffic'!$D$13:$D$51,MATCH(B11,'Rail-domestic psgr traffic'!$A$13:$A$51,0))</f>
        <v>1224820</v>
      </c>
      <c r="D11" s="334">
        <f>INDEX('Rail-domestic psgr traffic'!$E$13:$E$51,MATCH(B11,'Rail-domestic psgr traffic'!$A$13:$A$51,0))</f>
        <v>2476394</v>
      </c>
      <c r="G11" s="332">
        <v>2013</v>
      </c>
      <c r="H11" s="333">
        <f>INDEX('Rail-domestic psgr traffic'!$L$13:$L$51,MATCH(B11,'Rail-domestic psgr traffic'!$A$13:$A$51,0))</f>
        <v>38531</v>
      </c>
      <c r="I11" s="334">
        <f>INDEX('Rail-domestic psgr traffic'!$M$13:$M$51,MATCH(B11,'Rail-domestic psgr traffic'!$A$13:$A$51,0))</f>
        <v>27822</v>
      </c>
    </row>
    <row r="12" spans="2:12">
      <c r="B12" s="332">
        <v>2014</v>
      </c>
      <c r="C12" s="333">
        <f>INDEX('Rail-domestic psgr traffic'!$D$13:$D$51,MATCH(B12,'Rail-domestic psgr traffic'!$A$13:$A$51,0))</f>
        <v>1263472</v>
      </c>
      <c r="D12" s="334">
        <f>INDEX('Rail-domestic psgr traffic'!$E$13:$E$51,MATCH(B12,'Rail-domestic psgr traffic'!$A$13:$A$51,0))</f>
        <v>2526167</v>
      </c>
      <c r="G12" s="332">
        <v>2014</v>
      </c>
      <c r="H12" s="333">
        <f>INDEX('Rail-domestic psgr traffic'!$L$13:$L$51,MATCH(B12,'Rail-domestic psgr traffic'!$A$13:$A$51,0))</f>
        <v>39500</v>
      </c>
      <c r="I12" s="334">
        <f>INDEX('Rail-domestic psgr traffic'!$M$13:$M$51,MATCH(B12,'Rail-domestic psgr traffic'!$A$13:$A$51,0))</f>
        <v>28360</v>
      </c>
      <c r="L12" s="129"/>
    </row>
    <row r="13" spans="2:12">
      <c r="B13" s="332">
        <v>2015</v>
      </c>
      <c r="C13" s="333">
        <f>INDEX('Rail-domestic psgr traffic'!$D$13:$D$51,MATCH(B13,'Rail-domestic psgr traffic'!$A$13:$A$51,0))</f>
        <v>1269417</v>
      </c>
      <c r="D13" s="334">
        <f>INDEX('Rail-domestic psgr traffic'!$E$13:$E$51,MATCH(B13,'Rail-domestic psgr traffic'!$A$13:$A$51,0))</f>
        <v>2522900</v>
      </c>
      <c r="G13" s="332">
        <v>2015</v>
      </c>
      <c r="H13" s="333">
        <f>INDEX('Rail-domestic psgr traffic'!$L$13:$L$51,MATCH(B13,'Rail-domestic psgr traffic'!$A$13:$A$51,0))</f>
        <v>40343</v>
      </c>
      <c r="I13" s="334">
        <f>INDEX('Rail-domestic psgr traffic'!$M$13:$M$51,MATCH(B13,'Rail-domestic psgr traffic'!$A$13:$A$51,0))</f>
        <v>28028</v>
      </c>
    </row>
    <row r="14" spans="2:12">
      <c r="B14" s="332">
        <v>2016</v>
      </c>
      <c r="C14" s="333">
        <f>INDEX('Rail-domestic psgr traffic'!$D$13:$D$51,MATCH(B14,'Rail-domestic psgr traffic'!$A$13:$A$51,0))</f>
        <v>1449535</v>
      </c>
      <c r="D14" s="334">
        <f>INDEX('Rail-domestic psgr traffic'!$E$13:$E$51,MATCH(B14,'Rail-domestic psgr traffic'!$A$13:$A$51,0))</f>
        <v>3572127</v>
      </c>
      <c r="G14" s="332">
        <v>2016</v>
      </c>
      <c r="H14" s="333">
        <f>INDEX('Rail-domestic psgr traffic'!$L$13:$L$51,MATCH(B14,'Rail-domestic psgr traffic'!$A$13:$A$51,0))</f>
        <v>43384</v>
      </c>
      <c r="I14" s="334">
        <f>INDEX('Rail-domestic psgr traffic'!$M$13:$M$51,MATCH(B14,'Rail-domestic psgr traffic'!$A$13:$A$51,0))</f>
        <v>43487</v>
      </c>
    </row>
    <row r="15" spans="2:12">
      <c r="B15" s="332">
        <v>2017</v>
      </c>
      <c r="C15" s="333">
        <f>INDEX('Rail-domestic psgr traffic'!$D$13:$D$51,MATCH(B15,'Rail-domestic psgr traffic'!$A$13:$A$51,0))</f>
        <v>1490319</v>
      </c>
      <c r="D15" s="334">
        <f>INDEX('Rail-domestic psgr traffic'!$E$13:$E$51,MATCH(B15,'Rail-domestic psgr traffic'!$A$13:$A$51,0))</f>
        <v>3604712</v>
      </c>
      <c r="G15" s="332">
        <v>2017</v>
      </c>
      <c r="H15" s="333">
        <f>INDEX('Rail-domestic psgr traffic'!$L$13:$L$51,MATCH(B15,'Rail-domestic psgr traffic'!$A$13:$A$51,0))</f>
        <v>46295</v>
      </c>
      <c r="I15" s="334">
        <f>INDEX('Rail-domestic psgr traffic'!$M$13:$M$51,MATCH(B15,'Rail-domestic psgr traffic'!$A$13:$A$51,0))</f>
        <v>43669</v>
      </c>
    </row>
    <row r="16" spans="2:12" ht="17.25" thickBot="1">
      <c r="B16" s="335">
        <v>2018</v>
      </c>
      <c r="C16" s="336">
        <f>INDEX('Rail-domestic psgr traffic'!$D$13:$D$51,MATCH(B16,'Rail-domestic psgr traffic'!$A$13:$A$51,0))</f>
        <v>1521590</v>
      </c>
      <c r="D16" s="337">
        <f>INDEX('Rail-domestic psgr traffic'!$E$13:$E$51,MATCH(B16,'Rail-domestic psgr traffic'!$A$13:$A$51,0))</f>
        <v>3618352</v>
      </c>
      <c r="G16" s="335">
        <v>2018</v>
      </c>
      <c r="H16" s="354">
        <f>INDEX('Rail-domestic psgr traffic'!$L$13:$L$51,MATCH(B16,'Rail-domestic psgr traffic'!$A$13:$A$51,0))</f>
        <v>48027</v>
      </c>
      <c r="I16" s="355">
        <f>INDEX('Rail-domestic psgr traffic'!$M$13:$M$51,MATCH(B16,'Rail-domestic psgr traffic'!$A$13:$A$51,0))</f>
        <v>44166</v>
      </c>
    </row>
    <row r="17" spans="1:14">
      <c r="C17" s="129"/>
      <c r="D17" s="129"/>
      <c r="H17" s="129"/>
      <c r="I17" s="129"/>
    </row>
    <row r="18" spans="1:14">
      <c r="D18" s="129"/>
      <c r="H18" s="129"/>
      <c r="I18" s="129"/>
      <c r="L18" s="328"/>
      <c r="M18" s="353"/>
      <c r="N18" s="129"/>
    </row>
    <row r="19" spans="1:14">
      <c r="A19" s="150" t="s">
        <v>988</v>
      </c>
      <c r="C19" s="129"/>
      <c r="D19" s="129"/>
      <c r="H19" s="129"/>
      <c r="I19" s="129"/>
      <c r="L19" s="328"/>
      <c r="M19" s="353"/>
      <c r="N19" s="129"/>
    </row>
    <row r="20" spans="1:14">
      <c r="A20" s="430"/>
      <c r="B20" s="431" t="s">
        <v>930</v>
      </c>
      <c r="C20" s="431" t="s">
        <v>931</v>
      </c>
      <c r="D20" s="431" t="s">
        <v>932</v>
      </c>
      <c r="E20" s="429" t="s">
        <v>933</v>
      </c>
      <c r="F20" s="431" t="s">
        <v>934</v>
      </c>
      <c r="G20" s="431"/>
      <c r="H20" s="429" t="s">
        <v>935</v>
      </c>
      <c r="I20" s="429" t="s">
        <v>936</v>
      </c>
    </row>
    <row r="21" spans="1:14">
      <c r="A21" s="430"/>
      <c r="B21" s="431"/>
      <c r="C21" s="431"/>
      <c r="D21" s="431"/>
      <c r="E21" s="429"/>
      <c r="F21" s="356" t="s">
        <v>937</v>
      </c>
      <c r="G21" s="356" t="s">
        <v>938</v>
      </c>
      <c r="H21" s="429"/>
      <c r="I21" s="429"/>
      <c r="M21" s="161"/>
    </row>
    <row r="22" spans="1:14">
      <c r="A22" s="342" t="s">
        <v>939</v>
      </c>
      <c r="B22" s="339">
        <v>10</v>
      </c>
      <c r="C22" s="364">
        <v>160</v>
      </c>
      <c r="D22" s="339">
        <f>C22/B22</f>
        <v>16</v>
      </c>
      <c r="E22" s="365">
        <v>101188</v>
      </c>
      <c r="F22" s="339">
        <v>514</v>
      </c>
      <c r="G22" s="339">
        <v>464</v>
      </c>
      <c r="H22" s="339">
        <f>SUM(F22*5,G22*2)/7</f>
        <v>499.71428571428572</v>
      </c>
      <c r="I22" s="339">
        <f>E22/H22</f>
        <v>202.49170954831331</v>
      </c>
      <c r="J22" s="341"/>
      <c r="K22" s="341"/>
      <c r="L22" s="341"/>
    </row>
    <row r="23" spans="1:14">
      <c r="A23" s="342" t="s">
        <v>940</v>
      </c>
      <c r="B23" s="339" t="s">
        <v>941</v>
      </c>
      <c r="C23" s="364">
        <v>794</v>
      </c>
      <c r="D23" s="339">
        <v>84</v>
      </c>
      <c r="E23" s="365">
        <v>562103</v>
      </c>
      <c r="F23" s="342">
        <v>947</v>
      </c>
      <c r="G23" s="339">
        <v>853</v>
      </c>
      <c r="H23" s="339">
        <f t="shared" ref="H23:H45" si="0">SUM(F23*5,G23*2)/7</f>
        <v>920.14285714285711</v>
      </c>
      <c r="I23" s="339">
        <f t="shared" ref="I23:I45" si="1">E23/H23</f>
        <v>610.88666356155875</v>
      </c>
      <c r="J23" s="341"/>
      <c r="K23" s="341"/>
      <c r="L23" s="341"/>
      <c r="M23" s="161"/>
    </row>
    <row r="24" spans="1:14">
      <c r="A24" s="342" t="s">
        <v>942</v>
      </c>
      <c r="B24" s="339">
        <v>10</v>
      </c>
      <c r="C24" s="364">
        <v>490</v>
      </c>
      <c r="D24" s="339">
        <f t="shared" ref="D24:D25" si="2">C24/B24</f>
        <v>49</v>
      </c>
      <c r="E24" s="365">
        <v>208987</v>
      </c>
      <c r="F24" s="342">
        <v>362</v>
      </c>
      <c r="G24" s="339">
        <v>350</v>
      </c>
      <c r="H24" s="339">
        <f t="shared" si="0"/>
        <v>358.57142857142856</v>
      </c>
      <c r="I24" s="339">
        <f t="shared" si="1"/>
        <v>582.83227091633466</v>
      </c>
      <c r="J24" s="341"/>
      <c r="K24" s="341"/>
      <c r="L24" s="341"/>
      <c r="M24" s="161"/>
    </row>
    <row r="25" spans="1:14">
      <c r="A25" s="342" t="s">
        <v>943</v>
      </c>
      <c r="B25" s="339">
        <v>10</v>
      </c>
      <c r="C25" s="364">
        <v>470</v>
      </c>
      <c r="D25" s="339">
        <f t="shared" si="2"/>
        <v>47</v>
      </c>
      <c r="E25" s="365">
        <v>210968</v>
      </c>
      <c r="F25" s="339">
        <v>453</v>
      </c>
      <c r="G25" s="339">
        <v>394</v>
      </c>
      <c r="H25" s="339">
        <f t="shared" si="0"/>
        <v>436.14285714285717</v>
      </c>
      <c r="I25" s="339">
        <f t="shared" si="1"/>
        <v>483.71306911234848</v>
      </c>
      <c r="J25" s="341"/>
      <c r="K25" s="341"/>
      <c r="L25" s="341"/>
    </row>
    <row r="26" spans="1:14">
      <c r="A26" s="342" t="s">
        <v>944</v>
      </c>
      <c r="B26" s="339">
        <v>8</v>
      </c>
      <c r="C26" s="364">
        <f>640-12</f>
        <v>628</v>
      </c>
      <c r="D26" s="339">
        <f>C26/B26</f>
        <v>78.5</v>
      </c>
      <c r="E26" s="365">
        <v>223186</v>
      </c>
      <c r="F26" s="339">
        <v>431</v>
      </c>
      <c r="G26" s="339">
        <v>372</v>
      </c>
      <c r="H26" s="339">
        <f t="shared" si="0"/>
        <v>414.14285714285717</v>
      </c>
      <c r="I26" s="339">
        <f t="shared" si="1"/>
        <v>538.91065884787849</v>
      </c>
      <c r="J26" s="341"/>
      <c r="K26" s="341"/>
      <c r="L26" s="341"/>
      <c r="M26" s="161"/>
    </row>
    <row r="27" spans="1:14">
      <c r="A27" s="342" t="s">
        <v>945</v>
      </c>
      <c r="B27" s="339">
        <v>8</v>
      </c>
      <c r="C27" s="364">
        <v>312</v>
      </c>
      <c r="D27" s="339">
        <f t="shared" ref="D27:D45" si="3">C27/B27</f>
        <v>39</v>
      </c>
      <c r="E27" s="365">
        <v>130600</v>
      </c>
      <c r="F27" s="339">
        <v>330</v>
      </c>
      <c r="G27" s="339">
        <v>277</v>
      </c>
      <c r="H27" s="339">
        <f t="shared" si="0"/>
        <v>314.85714285714283</v>
      </c>
      <c r="I27" s="339">
        <f t="shared" si="1"/>
        <v>414.79128856624322</v>
      </c>
      <c r="J27" s="341"/>
      <c r="K27" s="341"/>
      <c r="L27" s="341"/>
    </row>
    <row r="28" spans="1:14">
      <c r="A28" s="342" t="s">
        <v>946</v>
      </c>
      <c r="B28" s="339">
        <v>8</v>
      </c>
      <c r="C28" s="364">
        <v>577</v>
      </c>
      <c r="D28" s="339">
        <f t="shared" si="3"/>
        <v>72.125</v>
      </c>
      <c r="E28" s="365">
        <v>261991</v>
      </c>
      <c r="F28" s="339">
        <v>415</v>
      </c>
      <c r="G28" s="339">
        <v>353</v>
      </c>
      <c r="H28" s="339">
        <f t="shared" si="0"/>
        <v>397.28571428571428</v>
      </c>
      <c r="I28" s="339">
        <f t="shared" si="1"/>
        <v>659.45235526788929</v>
      </c>
      <c r="J28" s="341"/>
      <c r="K28" s="341"/>
    </row>
    <row r="29" spans="1:14">
      <c r="A29" s="342" t="s">
        <v>947</v>
      </c>
      <c r="B29" s="339">
        <v>6</v>
      </c>
      <c r="C29" s="364">
        <v>120</v>
      </c>
      <c r="D29" s="339">
        <f t="shared" si="3"/>
        <v>20</v>
      </c>
      <c r="E29" s="365">
        <v>70133</v>
      </c>
      <c r="F29" s="339">
        <v>282</v>
      </c>
      <c r="G29" s="339">
        <v>270</v>
      </c>
      <c r="H29" s="339">
        <f t="shared" si="0"/>
        <v>278.57142857142856</v>
      </c>
      <c r="I29" s="339">
        <f t="shared" si="1"/>
        <v>251.75948717948719</v>
      </c>
      <c r="J29" s="341"/>
      <c r="K29" s="341"/>
      <c r="L29" s="341"/>
    </row>
    <row r="30" spans="1:14">
      <c r="A30" s="342" t="s">
        <v>948</v>
      </c>
      <c r="B30" s="339">
        <v>6</v>
      </c>
      <c r="C30" s="364">
        <v>270</v>
      </c>
      <c r="D30" s="339">
        <f t="shared" si="3"/>
        <v>45</v>
      </c>
      <c r="E30" s="365">
        <v>130859</v>
      </c>
      <c r="F30" s="339">
        <v>502</v>
      </c>
      <c r="G30" s="342"/>
      <c r="H30" s="339">
        <f>F30</f>
        <v>502</v>
      </c>
      <c r="I30" s="339">
        <f t="shared" si="1"/>
        <v>260.67529880478088</v>
      </c>
      <c r="J30" s="341"/>
      <c r="K30" s="341"/>
      <c r="L30" s="341"/>
      <c r="M30" s="161"/>
    </row>
    <row r="31" spans="1:14">
      <c r="A31" s="342" t="s">
        <v>949</v>
      </c>
      <c r="B31" s="339">
        <v>4</v>
      </c>
      <c r="C31" s="364">
        <v>84</v>
      </c>
      <c r="D31" s="339">
        <f t="shared" si="3"/>
        <v>21</v>
      </c>
      <c r="E31" s="365">
        <v>40262</v>
      </c>
      <c r="F31" s="339">
        <v>242</v>
      </c>
      <c r="G31" s="339">
        <v>218</v>
      </c>
      <c r="H31" s="339">
        <f t="shared" si="0"/>
        <v>235.14285714285714</v>
      </c>
      <c r="I31" s="339">
        <f t="shared" si="1"/>
        <v>171.22357229647631</v>
      </c>
      <c r="J31" s="341"/>
      <c r="K31" s="341"/>
      <c r="L31" s="341"/>
      <c r="M31" s="161"/>
    </row>
    <row r="32" spans="1:14">
      <c r="A32" s="342" t="s">
        <v>950</v>
      </c>
      <c r="B32" s="339">
        <v>8</v>
      </c>
      <c r="C32" s="364">
        <v>408</v>
      </c>
      <c r="D32" s="339">
        <f t="shared" si="3"/>
        <v>51</v>
      </c>
      <c r="E32" s="365">
        <v>173271</v>
      </c>
      <c r="F32" s="342">
        <v>364</v>
      </c>
      <c r="G32" s="339">
        <v>328</v>
      </c>
      <c r="H32" s="339">
        <f t="shared" si="0"/>
        <v>353.71428571428572</v>
      </c>
      <c r="I32" s="339">
        <f t="shared" si="1"/>
        <v>489.8614701130856</v>
      </c>
      <c r="J32" s="341"/>
      <c r="K32" s="341"/>
      <c r="L32" s="341"/>
      <c r="M32" s="161"/>
    </row>
    <row r="33" spans="1:13">
      <c r="A33" s="342" t="s">
        <v>951</v>
      </c>
      <c r="B33" s="339">
        <v>6</v>
      </c>
      <c r="C33" s="364">
        <v>336</v>
      </c>
      <c r="D33" s="339">
        <f t="shared" si="3"/>
        <v>56</v>
      </c>
      <c r="E33" s="365">
        <v>123856</v>
      </c>
      <c r="F33" s="342">
        <v>349</v>
      </c>
      <c r="G33" s="339">
        <v>305</v>
      </c>
      <c r="H33" s="339">
        <f t="shared" si="0"/>
        <v>336.42857142857144</v>
      </c>
      <c r="I33" s="339">
        <f t="shared" si="1"/>
        <v>368.14946921443737</v>
      </c>
      <c r="J33" s="341"/>
      <c r="K33" s="341"/>
      <c r="L33" s="341"/>
    </row>
    <row r="34" spans="1:13">
      <c r="A34" s="342" t="s">
        <v>952</v>
      </c>
      <c r="B34" s="339">
        <v>4</v>
      </c>
      <c r="C34" s="364">
        <v>80</v>
      </c>
      <c r="D34" s="339">
        <f t="shared" si="3"/>
        <v>20</v>
      </c>
      <c r="E34" s="365">
        <v>34438</v>
      </c>
      <c r="F34" s="342">
        <v>320</v>
      </c>
      <c r="G34" s="339">
        <v>284</v>
      </c>
      <c r="H34" s="339">
        <f t="shared" si="0"/>
        <v>309.71428571428572</v>
      </c>
      <c r="I34" s="339">
        <f t="shared" si="1"/>
        <v>111.19280442804428</v>
      </c>
      <c r="J34" s="341"/>
      <c r="K34" s="341"/>
      <c r="L34" s="341"/>
    </row>
    <row r="35" spans="1:13">
      <c r="A35" s="342" t="s">
        <v>953</v>
      </c>
      <c r="B35" s="339">
        <v>6</v>
      </c>
      <c r="C35" s="364">
        <v>102</v>
      </c>
      <c r="D35" s="339">
        <f t="shared" si="3"/>
        <v>17</v>
      </c>
      <c r="E35" s="365">
        <v>10984</v>
      </c>
      <c r="F35" s="342">
        <v>310</v>
      </c>
      <c r="G35" s="339">
        <v>278</v>
      </c>
      <c r="H35" s="339">
        <f t="shared" si="0"/>
        <v>300.85714285714283</v>
      </c>
      <c r="I35" s="339">
        <f t="shared" si="1"/>
        <v>36.509021842355182</v>
      </c>
      <c r="J35" s="341"/>
      <c r="K35" s="341"/>
      <c r="L35" s="341"/>
    </row>
    <row r="36" spans="1:13">
      <c r="A36" s="342" t="s">
        <v>954</v>
      </c>
      <c r="B36" s="339">
        <v>8</v>
      </c>
      <c r="C36" s="364">
        <v>272</v>
      </c>
      <c r="D36" s="339">
        <f t="shared" si="3"/>
        <v>34</v>
      </c>
      <c r="E36" s="365">
        <v>74427</v>
      </c>
      <c r="F36" s="342">
        <v>312</v>
      </c>
      <c r="G36" s="339">
        <v>272</v>
      </c>
      <c r="H36" s="339">
        <f t="shared" si="0"/>
        <v>300.57142857142856</v>
      </c>
      <c r="I36" s="339">
        <f t="shared" si="1"/>
        <v>247.61834600760457</v>
      </c>
      <c r="J36" s="341"/>
      <c r="K36" s="341"/>
      <c r="L36" s="341"/>
      <c r="M36" s="161"/>
    </row>
    <row r="37" spans="1:13">
      <c r="A37" s="342" t="s">
        <v>955</v>
      </c>
      <c r="B37" s="339">
        <v>2</v>
      </c>
      <c r="C37" s="364">
        <v>74</v>
      </c>
      <c r="D37" s="339">
        <f t="shared" si="3"/>
        <v>37</v>
      </c>
      <c r="E37" s="365">
        <v>41388</v>
      </c>
      <c r="F37" s="342">
        <v>460</v>
      </c>
      <c r="G37" s="339">
        <v>376</v>
      </c>
      <c r="H37" s="339">
        <f t="shared" si="0"/>
        <v>436</v>
      </c>
      <c r="I37" s="339">
        <f t="shared" si="1"/>
        <v>94.926605504587158</v>
      </c>
      <c r="J37" s="341"/>
      <c r="K37" s="341"/>
      <c r="L37" s="341"/>
      <c r="M37" s="161"/>
    </row>
    <row r="38" spans="1:13">
      <c r="A38" s="342" t="s">
        <v>956</v>
      </c>
      <c r="B38" s="339">
        <v>6</v>
      </c>
      <c r="C38" s="364">
        <v>204</v>
      </c>
      <c r="D38" s="339">
        <f t="shared" si="3"/>
        <v>34</v>
      </c>
      <c r="E38" s="365">
        <v>74572</v>
      </c>
      <c r="F38" s="339">
        <f>105112/365</f>
        <v>287.9780821917808</v>
      </c>
      <c r="G38" s="342"/>
      <c r="H38" s="339">
        <f>F38</f>
        <v>287.9780821917808</v>
      </c>
      <c r="I38" s="339">
        <f t="shared" si="1"/>
        <v>258.9502625770607</v>
      </c>
      <c r="J38" s="341"/>
      <c r="K38" s="341"/>
      <c r="L38" s="341"/>
      <c r="M38" s="161"/>
    </row>
    <row r="39" spans="1:13">
      <c r="A39" s="342" t="s">
        <v>957</v>
      </c>
      <c r="B39" s="339">
        <v>6</v>
      </c>
      <c r="C39" s="364">
        <v>180</v>
      </c>
      <c r="D39" s="339">
        <f t="shared" si="3"/>
        <v>30</v>
      </c>
      <c r="E39" s="365">
        <v>64876</v>
      </c>
      <c r="F39" s="339">
        <f>96192/365</f>
        <v>263.53972602739725</v>
      </c>
      <c r="G39" s="342"/>
      <c r="H39" s="339">
        <f t="shared" ref="H39:H40" si="4">F39</f>
        <v>263.53972602739725</v>
      </c>
      <c r="I39" s="339">
        <f t="shared" si="1"/>
        <v>246.1716151031271</v>
      </c>
      <c r="J39" s="341"/>
      <c r="K39" s="341"/>
      <c r="L39" s="341"/>
      <c r="M39" s="161"/>
    </row>
    <row r="40" spans="1:13">
      <c r="A40" s="342" t="s">
        <v>958</v>
      </c>
      <c r="B40" s="339">
        <v>3</v>
      </c>
      <c r="C40" s="364">
        <v>84</v>
      </c>
      <c r="D40" s="339">
        <f t="shared" si="3"/>
        <v>28</v>
      </c>
      <c r="E40" s="365">
        <v>28180</v>
      </c>
      <c r="F40" s="339">
        <f>111480/365</f>
        <v>305.42465753424659</v>
      </c>
      <c r="G40" s="342"/>
      <c r="H40" s="339">
        <f t="shared" si="4"/>
        <v>305.42465753424659</v>
      </c>
      <c r="I40" s="339">
        <f t="shared" si="1"/>
        <v>92.264980265518474</v>
      </c>
      <c r="J40" s="341"/>
      <c r="K40" s="341"/>
      <c r="L40" s="341"/>
    </row>
    <row r="41" spans="1:13">
      <c r="A41" s="342" t="s">
        <v>959</v>
      </c>
      <c r="B41" s="339">
        <v>4</v>
      </c>
      <c r="C41" s="364">
        <v>92</v>
      </c>
      <c r="D41" s="339">
        <f t="shared" si="3"/>
        <v>23</v>
      </c>
      <c r="E41" s="365">
        <v>19319</v>
      </c>
      <c r="F41" s="339">
        <f>G41*(F31/G31)</f>
        <v>224.23853211009174</v>
      </c>
      <c r="G41" s="342">
        <v>202</v>
      </c>
      <c r="H41" s="339">
        <f t="shared" si="0"/>
        <v>217.88466579292268</v>
      </c>
      <c r="I41" s="339">
        <f t="shared" si="1"/>
        <v>88.666175426777187</v>
      </c>
      <c r="J41" s="341"/>
      <c r="K41" s="341"/>
      <c r="L41" s="341"/>
      <c r="M41" s="161"/>
    </row>
    <row r="42" spans="1:13">
      <c r="A42" s="342" t="s">
        <v>960</v>
      </c>
      <c r="B42" s="339">
        <v>2</v>
      </c>
      <c r="C42" s="364">
        <v>50</v>
      </c>
      <c r="D42" s="339">
        <f t="shared" si="3"/>
        <v>25</v>
      </c>
      <c r="E42" s="365">
        <v>18480</v>
      </c>
      <c r="F42" s="342">
        <v>424</v>
      </c>
      <c r="G42" s="342"/>
      <c r="H42" s="339">
        <f t="shared" si="0"/>
        <v>302.85714285714283</v>
      </c>
      <c r="I42" s="339">
        <f t="shared" si="1"/>
        <v>61.018867924528308</v>
      </c>
      <c r="J42" s="341"/>
      <c r="K42" s="341"/>
      <c r="L42" s="341"/>
      <c r="M42" s="161"/>
    </row>
    <row r="43" spans="1:13">
      <c r="A43" s="342" t="s">
        <v>961</v>
      </c>
      <c r="B43" s="339">
        <v>2</v>
      </c>
      <c r="C43" s="364">
        <v>30</v>
      </c>
      <c r="D43" s="339">
        <f t="shared" si="3"/>
        <v>15</v>
      </c>
      <c r="E43" s="365">
        <v>12953</v>
      </c>
      <c r="F43" s="342">
        <v>362</v>
      </c>
      <c r="G43" s="342"/>
      <c r="H43" s="339">
        <f t="shared" si="0"/>
        <v>258.57142857142856</v>
      </c>
      <c r="I43" s="339">
        <f t="shared" si="1"/>
        <v>50.094475138121553</v>
      </c>
      <c r="J43" s="341"/>
      <c r="K43" s="341"/>
      <c r="L43" s="341"/>
      <c r="M43" s="161"/>
    </row>
    <row r="44" spans="1:13">
      <c r="A44" s="342" t="s">
        <v>962</v>
      </c>
      <c r="B44" s="339">
        <v>1</v>
      </c>
      <c r="C44" s="364">
        <v>30</v>
      </c>
      <c r="D44" s="339">
        <f t="shared" si="3"/>
        <v>30</v>
      </c>
      <c r="E44" s="365">
        <v>8848</v>
      </c>
      <c r="F44" s="342">
        <v>398</v>
      </c>
      <c r="G44" s="342"/>
      <c r="H44" s="339">
        <f t="shared" si="0"/>
        <v>284.28571428571428</v>
      </c>
      <c r="I44" s="339">
        <f t="shared" si="1"/>
        <v>31.123618090452261</v>
      </c>
      <c r="J44" s="341"/>
      <c r="K44" s="341"/>
      <c r="L44" s="341"/>
      <c r="M44" s="161"/>
    </row>
    <row r="45" spans="1:13">
      <c r="A45" s="342" t="s">
        <v>963</v>
      </c>
      <c r="B45" s="339">
        <v>2</v>
      </c>
      <c r="C45" s="364">
        <v>36</v>
      </c>
      <c r="D45" s="339">
        <f t="shared" si="3"/>
        <v>18</v>
      </c>
      <c r="E45" s="365">
        <v>16157</v>
      </c>
      <c r="F45" s="342">
        <v>516</v>
      </c>
      <c r="G45" s="342"/>
      <c r="H45" s="339">
        <f t="shared" si="0"/>
        <v>368.57142857142856</v>
      </c>
      <c r="I45" s="339">
        <f t="shared" si="1"/>
        <v>43.83682170542636</v>
      </c>
      <c r="J45" s="341"/>
      <c r="K45" s="341"/>
      <c r="L45" s="341"/>
      <c r="M45" s="161"/>
    </row>
    <row r="46" spans="1:13">
      <c r="A46" s="342" t="s">
        <v>964</v>
      </c>
      <c r="B46" s="339"/>
      <c r="C46" s="342">
        <v>5883</v>
      </c>
      <c r="D46" s="339">
        <f>SUM(D22:D45)</f>
        <v>889.625</v>
      </c>
      <c r="E46" s="340">
        <f>SUM(E22:E45)</f>
        <v>2642026</v>
      </c>
      <c r="F46" s="342"/>
      <c r="G46" s="342"/>
      <c r="H46" s="342"/>
      <c r="I46" s="342"/>
      <c r="L46" s="341"/>
    </row>
    <row r="47" spans="1:13">
      <c r="B47" s="328" t="s">
        <v>965</v>
      </c>
      <c r="C47" s="343">
        <f>SUMPRODUCT(D22:D45,I22:I45)/D46</f>
        <v>356.82478102755613</v>
      </c>
      <c r="L47" s="341"/>
    </row>
    <row r="48" spans="1:13">
      <c r="L48" s="341"/>
      <c r="M48" s="161"/>
    </row>
    <row r="49" spans="1:13">
      <c r="A49" s="344"/>
      <c r="M49" s="161"/>
    </row>
  </sheetData>
  <mergeCells count="8">
    <mergeCell ref="H20:H21"/>
    <mergeCell ref="I20:I21"/>
    <mergeCell ref="A20:A21"/>
    <mergeCell ref="B20:B21"/>
    <mergeCell ref="C20:C21"/>
    <mergeCell ref="D20:D21"/>
    <mergeCell ref="E20:E21"/>
    <mergeCell ref="F20:G20"/>
  </mergeCells>
  <phoneticPr fontId="4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B192C-0450-42E3-8D79-845E13F91F84}">
  <sheetPr>
    <tabColor rgb="FFFF0000"/>
  </sheetPr>
  <dimension ref="A2:J41"/>
  <sheetViews>
    <sheetView zoomScale="90" zoomScaleNormal="90" workbookViewId="0">
      <selection activeCell="G24" sqref="G24"/>
    </sheetView>
  </sheetViews>
  <sheetFormatPr defaultColWidth="9" defaultRowHeight="16.5"/>
  <cols>
    <col min="1" max="1" width="13.625" style="14" customWidth="1"/>
    <col min="2" max="2" width="14.875" style="14" bestFit="1" customWidth="1"/>
    <col min="3" max="4" width="13.625" style="14" bestFit="1" customWidth="1"/>
    <col min="5" max="5" width="16" style="14" bestFit="1" customWidth="1"/>
    <col min="6" max="6" width="17.875" style="14" bestFit="1" customWidth="1"/>
    <col min="7" max="7" width="12.875" style="14" bestFit="1" customWidth="1"/>
    <col min="8" max="9" width="11.625" style="14" bestFit="1" customWidth="1"/>
    <col min="10" max="10" width="11" style="14" bestFit="1" customWidth="1"/>
    <col min="11" max="16384" width="9" style="14"/>
  </cols>
  <sheetData>
    <row r="2" spans="1:10" ht="20.100000000000001" customHeight="1">
      <c r="A2" s="150" t="s">
        <v>971</v>
      </c>
      <c r="B2" s="14" t="s">
        <v>972</v>
      </c>
    </row>
    <row r="3" spans="1:10" ht="20.100000000000001" customHeight="1">
      <c r="A3" s="165" t="s">
        <v>983</v>
      </c>
      <c r="B3" s="165" t="s">
        <v>967</v>
      </c>
      <c r="C3" s="165" t="s">
        <v>305</v>
      </c>
      <c r="D3" s="165" t="s">
        <v>441</v>
      </c>
      <c r="E3" s="165" t="s">
        <v>236</v>
      </c>
      <c r="F3" s="165" t="s">
        <v>237</v>
      </c>
      <c r="G3" s="165" t="s">
        <v>282</v>
      </c>
    </row>
    <row r="4" spans="1:10" ht="20.100000000000001" customHeight="1">
      <c r="A4" s="166">
        <f>'Rail-CAGR'!J3</f>
        <v>1521590000</v>
      </c>
      <c r="B4" s="166">
        <f>'Rail-CAGR'!J4</f>
        <v>48027000000</v>
      </c>
      <c r="C4" s="167">
        <f>10</f>
        <v>10</v>
      </c>
      <c r="D4" s="168">
        <v>51.25</v>
      </c>
      <c r="E4" s="169">
        <f>B4/(SUM(SYVbT_passenger!B5:H5)-$C$11)</f>
        <v>58067909.319899246</v>
      </c>
      <c r="F4" s="169">
        <f>E4*About!$B$64</f>
        <v>36081714.882015117</v>
      </c>
      <c r="G4" s="347">
        <f>F4/('AVLo-passenger'!B5*8)</f>
        <v>94346.859565514358</v>
      </c>
      <c r="I4" s="129"/>
      <c r="J4" s="129"/>
    </row>
    <row r="5" spans="1:10" ht="20.100000000000001" customHeight="1">
      <c r="A5" s="130"/>
      <c r="B5" s="130"/>
      <c r="C5" s="130"/>
      <c r="E5" s="129"/>
      <c r="F5" s="129"/>
      <c r="G5" s="129"/>
    </row>
    <row r="6" spans="1:10" ht="20.100000000000001" customHeight="1">
      <c r="A6" s="171" t="s">
        <v>981</v>
      </c>
      <c r="B6" s="171" t="s">
        <v>982</v>
      </c>
      <c r="C6" s="165" t="s">
        <v>305</v>
      </c>
      <c r="D6" s="165" t="s">
        <v>902</v>
      </c>
      <c r="E6" s="172" t="s">
        <v>431</v>
      </c>
      <c r="F6" s="172" t="s">
        <v>430</v>
      </c>
      <c r="G6" s="172" t="s">
        <v>282</v>
      </c>
    </row>
    <row r="7" spans="1:10" ht="20.100000000000001" customHeight="1">
      <c r="A7" s="166">
        <f>'Rail-CAGR'!J5</f>
        <v>30914733</v>
      </c>
      <c r="B7" s="166">
        <f>'Rail-CAGR'!J6</f>
        <v>7877511771.6429996</v>
      </c>
      <c r="C7" s="167">
        <v>30</v>
      </c>
      <c r="D7" s="162">
        <f>C7*50.48</f>
        <v>1514.3999999999999</v>
      </c>
      <c r="E7" s="169">
        <f>B7/SUM(SYVbT_freight!B5:H5)</f>
        <v>36724996.604396269</v>
      </c>
      <c r="F7" s="169">
        <f>E7*About!$B$64</f>
        <v>22819847.865070313</v>
      </c>
      <c r="G7" s="170">
        <f>F7/D7</f>
        <v>15068.57360345372</v>
      </c>
      <c r="I7" s="130"/>
      <c r="J7" s="129"/>
    </row>
    <row r="8" spans="1:10" ht="20.100000000000001" customHeight="1"/>
    <row r="9" spans="1:10" s="247" customFormat="1" ht="20.100000000000001" customHeight="1">
      <c r="A9" s="217" t="s">
        <v>970</v>
      </c>
      <c r="B9" s="218" t="s">
        <v>966</v>
      </c>
      <c r="C9" s="218"/>
      <c r="D9" s="218"/>
      <c r="E9" s="218"/>
      <c r="F9" s="218"/>
      <c r="G9" s="218"/>
    </row>
    <row r="10" spans="1:10" s="247" customFormat="1" ht="20.100000000000001" customHeight="1">
      <c r="A10" s="345" t="s">
        <v>983</v>
      </c>
      <c r="B10" s="345" t="s">
        <v>967</v>
      </c>
      <c r="C10" s="345" t="s">
        <v>968</v>
      </c>
      <c r="D10" s="345" t="s">
        <v>969</v>
      </c>
      <c r="E10" s="345" t="s">
        <v>236</v>
      </c>
      <c r="F10" s="345" t="s">
        <v>237</v>
      </c>
      <c r="G10" s="345" t="s">
        <v>282</v>
      </c>
    </row>
    <row r="11" spans="1:10" s="247" customFormat="1" ht="20.100000000000001" customHeight="1">
      <c r="A11" s="340">
        <f>'Rail-subway'!D16*1000</f>
        <v>3618352000</v>
      </c>
      <c r="B11" s="340">
        <f>'Rail-subway'!I16*10^6</f>
        <v>44166000000</v>
      </c>
      <c r="C11" s="340">
        <f>'Rail-subway'!D46</f>
        <v>889.625</v>
      </c>
      <c r="D11" s="351">
        <f>'Rail-subway'!C47</f>
        <v>356.82478102755613</v>
      </c>
      <c r="E11" s="340">
        <f>B11/C11</f>
        <v>49645637.20668821</v>
      </c>
      <c r="F11" s="340">
        <f>E11*About!$B$64</f>
        <v>30848359.236757059</v>
      </c>
      <c r="G11" s="340">
        <f>F11/D11</f>
        <v>86452.40150620247</v>
      </c>
    </row>
    <row r="12" spans="1:10" s="247" customFormat="1" ht="20.100000000000001" customHeight="1">
      <c r="A12" s="218"/>
      <c r="B12" s="218"/>
      <c r="C12" s="218"/>
      <c r="D12" s="218"/>
      <c r="E12" s="218"/>
      <c r="F12" s="218"/>
      <c r="G12" s="218"/>
    </row>
    <row r="13" spans="1:10" s="247" customFormat="1" ht="20.100000000000001" customHeight="1">
      <c r="A13" s="150" t="s">
        <v>973</v>
      </c>
    </row>
    <row r="14" spans="1:10" s="247" customFormat="1" ht="20.100000000000001" customHeight="1">
      <c r="A14" s="345" t="s">
        <v>983</v>
      </c>
      <c r="B14" s="345" t="s">
        <v>967</v>
      </c>
      <c r="C14" s="345" t="s">
        <v>968</v>
      </c>
      <c r="D14" s="345" t="s">
        <v>969</v>
      </c>
      <c r="E14" s="345" t="s">
        <v>236</v>
      </c>
      <c r="F14" s="345" t="s">
        <v>237</v>
      </c>
      <c r="G14" s="345" t="s">
        <v>282</v>
      </c>
    </row>
    <row r="15" spans="1:10" s="247" customFormat="1" ht="20.100000000000001" customHeight="1">
      <c r="A15" s="346">
        <f>SUM($A$4,$A$11)</f>
        <v>5139942000</v>
      </c>
      <c r="B15" s="346">
        <f>SUM($B$4,$B$11)</f>
        <v>92193000000</v>
      </c>
      <c r="C15" s="346">
        <f>SUM(SYVbT_passenger!$B$5:$H$5)</f>
        <v>1716.7083333333333</v>
      </c>
      <c r="D15" s="350">
        <f>G19</f>
        <v>382.44377320257638</v>
      </c>
      <c r="E15" s="346">
        <f>B15/C15</f>
        <v>53703356.714642853</v>
      </c>
      <c r="F15" s="346">
        <f>E15*About!$B$64</f>
        <v>33369708.465134345</v>
      </c>
      <c r="G15" s="348">
        <f>F15/$D$15</f>
        <v>87253.894044860732</v>
      </c>
    </row>
    <row r="16" spans="1:10" s="247" customFormat="1" ht="20.100000000000001" customHeight="1"/>
    <row r="17" spans="4:7" s="247" customFormat="1" ht="20.100000000000001" customHeight="1">
      <c r="D17" s="247" t="s">
        <v>978</v>
      </c>
    </row>
    <row r="18" spans="4:7" s="247" customFormat="1" ht="20.100000000000001" customHeight="1">
      <c r="D18" s="338"/>
      <c r="E18" s="338" t="s">
        <v>975</v>
      </c>
      <c r="F18" s="338" t="s">
        <v>974</v>
      </c>
      <c r="G18" s="338" t="s">
        <v>979</v>
      </c>
    </row>
    <row r="19" spans="4:7" s="247" customFormat="1" ht="20.100000000000001" customHeight="1">
      <c r="D19" s="345" t="s">
        <v>976</v>
      </c>
      <c r="E19" s="346">
        <f>SUM(SYVbT_passenger!B5:H5)-C11</f>
        <v>827.08333333333326</v>
      </c>
      <c r="F19" s="346">
        <f>D4*(C4-2)</f>
        <v>410</v>
      </c>
      <c r="G19" s="350">
        <f>SUMPRODUCT($E$19:$E$20,$F$19:$F$20)/SUM($E$19:$E$20)</f>
        <v>382.44377320257638</v>
      </c>
    </row>
    <row r="20" spans="4:7" s="247" customFormat="1" ht="20.100000000000001" customHeight="1">
      <c r="D20" s="345" t="s">
        <v>977</v>
      </c>
      <c r="E20" s="346">
        <f>C11</f>
        <v>889.625</v>
      </c>
      <c r="F20" s="346">
        <f>D11</f>
        <v>356.82478102755613</v>
      </c>
      <c r="G20" s="346"/>
    </row>
    <row r="21" spans="4:7" s="247" customFormat="1" ht="20.100000000000001" customHeight="1"/>
    <row r="22" spans="4:7" ht="20.100000000000001" customHeight="1"/>
    <row r="23" spans="4:7" ht="20.100000000000001" customHeight="1"/>
    <row r="24" spans="4:7" ht="20.100000000000001" customHeight="1"/>
    <row r="25" spans="4:7" ht="20.100000000000001" customHeight="1"/>
    <row r="26" spans="4:7" ht="20.100000000000001" customHeight="1"/>
    <row r="27" spans="4:7" ht="20.100000000000001" customHeight="1"/>
    <row r="28" spans="4:7" ht="20.100000000000001" customHeight="1"/>
    <row r="29" spans="4:7" ht="20.100000000000001" customHeight="1"/>
    <row r="30" spans="4:7" ht="20.100000000000001" customHeight="1"/>
    <row r="31" spans="4:7" ht="20.100000000000001" customHeight="1"/>
    <row r="32" spans="4:7" ht="20.100000000000001" customHeight="1"/>
    <row r="33" spans="1:6" ht="20.100000000000001" customHeight="1">
      <c r="A33" s="150" t="s">
        <v>620</v>
      </c>
    </row>
    <row r="34" spans="1:6" ht="20.100000000000001" customHeight="1">
      <c r="A34" s="375" t="s">
        <v>1026</v>
      </c>
      <c r="B34" s="375"/>
      <c r="C34" s="375"/>
      <c r="D34" s="375"/>
      <c r="E34" s="375"/>
      <c r="F34" s="375"/>
    </row>
    <row r="35" spans="1:6" ht="20.100000000000001" customHeight="1">
      <c r="A35" s="375" t="s">
        <v>1027</v>
      </c>
      <c r="B35" s="375"/>
      <c r="C35" s="375"/>
      <c r="D35" s="375"/>
      <c r="E35" s="375"/>
      <c r="F35" s="375"/>
    </row>
    <row r="36" spans="1:6" ht="20.100000000000001" customHeight="1">
      <c r="A36" s="375"/>
      <c r="B36" s="375"/>
      <c r="C36" s="375"/>
      <c r="D36" s="375"/>
      <c r="E36" s="375"/>
      <c r="F36" s="375"/>
    </row>
    <row r="37" spans="1:6" ht="20.100000000000001" customHeight="1">
      <c r="A37" s="449" t="s">
        <v>1029</v>
      </c>
      <c r="B37" s="375"/>
      <c r="C37" s="375"/>
      <c r="D37" s="375"/>
      <c r="E37" s="375"/>
      <c r="F37" s="375"/>
    </row>
    <row r="38" spans="1:6" ht="20.100000000000001" customHeight="1">
      <c r="A38" s="189" t="s">
        <v>1025</v>
      </c>
      <c r="B38" s="375"/>
      <c r="C38" s="375"/>
      <c r="D38" s="375"/>
      <c r="E38" s="375"/>
      <c r="F38" s="375"/>
    </row>
    <row r="39" spans="1:6">
      <c r="A39" s="375"/>
      <c r="B39" s="375"/>
      <c r="C39" s="375"/>
      <c r="D39" s="375"/>
      <c r="E39" s="375"/>
      <c r="F39" s="375"/>
    </row>
    <row r="40" spans="1:6">
      <c r="A40" s="375" t="s">
        <v>1028</v>
      </c>
      <c r="B40" s="375"/>
      <c r="C40" s="375"/>
      <c r="D40" s="375"/>
      <c r="E40" s="375"/>
      <c r="F40" s="375"/>
    </row>
    <row r="41" spans="1:6">
      <c r="A41" s="375" t="s">
        <v>900</v>
      </c>
      <c r="B41" s="375"/>
      <c r="C41" s="375"/>
      <c r="D41" s="375"/>
      <c r="E41" s="375"/>
      <c r="F41" s="375" t="s">
        <v>901</v>
      </c>
    </row>
  </sheetData>
  <phoneticPr fontId="42" type="noConversion"/>
  <hyperlinks>
    <hyperlink ref="A38" r:id="rId1" xr:uid="{B1DE04E7-A368-42D4-BB30-C19FDAE0B406}"/>
  </hyperlinks>
  <pageMargins left="0.7" right="0.7" top="0.75" bottom="0.75" header="0.3" footer="0.3"/>
  <pageSetup paperSize="9" orientation="portrait" horizontalDpi="4294967292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385B6-1EFB-426D-B137-34A8D745209C}">
  <dimension ref="A2:J74"/>
  <sheetViews>
    <sheetView workbookViewId="0"/>
  </sheetViews>
  <sheetFormatPr defaultColWidth="9" defaultRowHeight="13.5"/>
  <cols>
    <col min="1" max="1" width="9" style="152"/>
    <col min="2" max="2" width="11.25" style="152" customWidth="1"/>
    <col min="3" max="3" width="10.375" style="152" customWidth="1"/>
    <col min="4" max="4" width="7.5" style="152" customWidth="1"/>
    <col min="5" max="5" width="11" style="152" customWidth="1"/>
    <col min="6" max="6" width="8.875" style="152" customWidth="1"/>
    <col min="7" max="8" width="9.375" style="152" customWidth="1"/>
    <col min="9" max="16384" width="9" style="152"/>
  </cols>
  <sheetData>
    <row r="2" spans="2:10">
      <c r="B2" s="153"/>
      <c r="C2" s="153" t="s">
        <v>346</v>
      </c>
      <c r="D2" s="153" t="s">
        <v>347</v>
      </c>
      <c r="E2" s="153" t="s">
        <v>348</v>
      </c>
      <c r="F2" s="153" t="s">
        <v>349</v>
      </c>
      <c r="G2" s="153" t="s">
        <v>350</v>
      </c>
      <c r="H2" s="154"/>
    </row>
    <row r="3" spans="2:10">
      <c r="B3" s="412" t="s">
        <v>351</v>
      </c>
      <c r="C3" s="432" t="s">
        <v>352</v>
      </c>
      <c r="D3" s="412" t="s">
        <v>353</v>
      </c>
      <c r="E3" s="155" t="s">
        <v>354</v>
      </c>
      <c r="F3" s="155">
        <v>3</v>
      </c>
      <c r="G3" s="412"/>
      <c r="H3" s="156"/>
    </row>
    <row r="4" spans="2:10">
      <c r="B4" s="412"/>
      <c r="C4" s="432"/>
      <c r="D4" s="412"/>
      <c r="E4" s="155" t="s">
        <v>355</v>
      </c>
      <c r="F4" s="155">
        <v>10</v>
      </c>
      <c r="G4" s="412"/>
      <c r="H4" s="156"/>
    </row>
    <row r="5" spans="2:10">
      <c r="B5" s="412"/>
      <c r="C5" s="432"/>
      <c r="D5" s="412"/>
      <c r="E5" s="155" t="s">
        <v>356</v>
      </c>
      <c r="F5" s="155">
        <v>44</v>
      </c>
      <c r="G5" s="412"/>
      <c r="H5" s="156"/>
    </row>
    <row r="6" spans="2:10">
      <c r="B6" s="412"/>
      <c r="C6" s="432"/>
      <c r="D6" s="412"/>
      <c r="E6" s="155" t="s">
        <v>357</v>
      </c>
      <c r="F6" s="155">
        <v>10</v>
      </c>
      <c r="G6" s="412"/>
      <c r="H6" s="156"/>
    </row>
    <row r="7" spans="2:10">
      <c r="B7" s="412"/>
      <c r="C7" s="432"/>
      <c r="D7" s="412"/>
      <c r="E7" s="155" t="s">
        <v>358</v>
      </c>
      <c r="F7" s="155">
        <v>31</v>
      </c>
      <c r="G7" s="412"/>
      <c r="H7" s="156"/>
    </row>
    <row r="8" spans="2:10">
      <c r="B8" s="412"/>
      <c r="C8" s="432"/>
      <c r="D8" s="412"/>
      <c r="E8" s="155" t="s">
        <v>359</v>
      </c>
      <c r="F8" s="155">
        <v>29</v>
      </c>
      <c r="G8" s="412"/>
      <c r="H8" s="156"/>
    </row>
    <row r="9" spans="2:10">
      <c r="B9" s="412"/>
      <c r="C9" s="432"/>
      <c r="D9" s="412"/>
      <c r="E9" s="155" t="s">
        <v>360</v>
      </c>
      <c r="F9" s="155">
        <v>10</v>
      </c>
      <c r="G9" s="412"/>
      <c r="H9" s="156"/>
    </row>
    <row r="10" spans="2:10">
      <c r="B10" s="412"/>
      <c r="C10" s="432"/>
      <c r="D10" s="412"/>
      <c r="E10" s="155" t="s">
        <v>361</v>
      </c>
      <c r="F10" s="155">
        <v>10</v>
      </c>
      <c r="G10" s="412"/>
      <c r="H10" s="156"/>
    </row>
    <row r="11" spans="2:10">
      <c r="B11" s="412"/>
      <c r="C11" s="432"/>
      <c r="D11" s="412"/>
      <c r="E11" s="155" t="s">
        <v>362</v>
      </c>
      <c r="F11" s="155">
        <f>SUM($F$3:$F$10)</f>
        <v>147</v>
      </c>
      <c r="G11" s="412"/>
      <c r="H11" s="143" t="s">
        <v>437</v>
      </c>
    </row>
    <row r="12" spans="2:10">
      <c r="B12" s="412"/>
      <c r="C12" s="432"/>
      <c r="D12" s="412" t="s">
        <v>363</v>
      </c>
      <c r="E12" s="155" t="s">
        <v>364</v>
      </c>
      <c r="F12" s="155">
        <v>4</v>
      </c>
      <c r="G12" s="412"/>
      <c r="H12" s="156">
        <f>H13-24</f>
        <v>110</v>
      </c>
      <c r="I12" s="191">
        <f>SUMPRODUCT(F12:F14,H12:H14)/SUM(F12:F14)</f>
        <v>114.17391304347827</v>
      </c>
      <c r="J12" s="152" t="s">
        <v>304</v>
      </c>
    </row>
    <row r="13" spans="2:10" ht="16.5" customHeight="1">
      <c r="B13" s="412"/>
      <c r="C13" s="432"/>
      <c r="D13" s="412"/>
      <c r="E13" s="155" t="s">
        <v>365</v>
      </c>
      <c r="F13" s="155">
        <v>7</v>
      </c>
      <c r="G13" s="412"/>
      <c r="H13" s="156">
        <v>134</v>
      </c>
    </row>
    <row r="14" spans="2:10">
      <c r="B14" s="412"/>
      <c r="C14" s="432"/>
      <c r="D14" s="412"/>
      <c r="E14" s="155" t="s">
        <v>366</v>
      </c>
      <c r="F14" s="155">
        <v>12</v>
      </c>
      <c r="G14" s="412"/>
      <c r="H14" s="156">
        <f>104</f>
        <v>104</v>
      </c>
    </row>
    <row r="15" spans="2:10">
      <c r="B15" s="412"/>
      <c r="C15" s="432"/>
      <c r="D15" s="412"/>
      <c r="E15" s="155" t="s">
        <v>362</v>
      </c>
      <c r="F15" s="155">
        <f>SUM($F$12:$F$14)</f>
        <v>23</v>
      </c>
      <c r="G15" s="412"/>
      <c r="H15" s="156"/>
    </row>
    <row r="16" spans="2:10">
      <c r="B16" s="412"/>
      <c r="C16" s="432" t="s">
        <v>367</v>
      </c>
      <c r="D16" s="412" t="s">
        <v>353</v>
      </c>
      <c r="E16" s="155" t="s">
        <v>354</v>
      </c>
      <c r="F16" s="155">
        <v>2</v>
      </c>
      <c r="G16" s="412"/>
      <c r="H16" s="156"/>
    </row>
    <row r="17" spans="2:8">
      <c r="B17" s="412"/>
      <c r="C17" s="432"/>
      <c r="D17" s="412"/>
      <c r="E17" s="155" t="s">
        <v>368</v>
      </c>
      <c r="F17" s="155">
        <v>9</v>
      </c>
      <c r="G17" s="412"/>
      <c r="H17" s="156"/>
    </row>
    <row r="18" spans="2:8">
      <c r="B18" s="412"/>
      <c r="C18" s="432"/>
      <c r="D18" s="412"/>
      <c r="E18" s="155" t="s">
        <v>369</v>
      </c>
      <c r="F18" s="155">
        <v>6</v>
      </c>
      <c r="G18" s="412"/>
      <c r="H18" s="156"/>
    </row>
    <row r="19" spans="2:8">
      <c r="B19" s="412"/>
      <c r="C19" s="432"/>
      <c r="D19" s="412"/>
      <c r="E19" s="155" t="s">
        <v>370</v>
      </c>
      <c r="F19" s="155">
        <v>19</v>
      </c>
      <c r="G19" s="412"/>
      <c r="H19" s="156"/>
    </row>
    <row r="20" spans="2:8">
      <c r="B20" s="412"/>
      <c r="C20" s="432"/>
      <c r="D20" s="412"/>
      <c r="E20" s="155" t="s">
        <v>371</v>
      </c>
      <c r="F20" s="155">
        <v>15</v>
      </c>
      <c r="G20" s="412"/>
      <c r="H20" s="156"/>
    </row>
    <row r="21" spans="2:8">
      <c r="B21" s="412"/>
      <c r="C21" s="432"/>
      <c r="D21" s="412"/>
      <c r="E21" s="155" t="s">
        <v>372</v>
      </c>
      <c r="F21" s="155">
        <v>7</v>
      </c>
      <c r="G21" s="412"/>
      <c r="H21" s="156"/>
    </row>
    <row r="22" spans="2:8">
      <c r="B22" s="412"/>
      <c r="C22" s="432"/>
      <c r="D22" s="412"/>
      <c r="E22" s="155" t="s">
        <v>360</v>
      </c>
      <c r="F22" s="155">
        <v>6</v>
      </c>
      <c r="G22" s="412"/>
      <c r="H22" s="156"/>
    </row>
    <row r="23" spans="2:8">
      <c r="B23" s="412"/>
      <c r="C23" s="432"/>
      <c r="D23" s="412"/>
      <c r="E23" s="155" t="s">
        <v>373</v>
      </c>
      <c r="F23" s="155">
        <v>10</v>
      </c>
      <c r="G23" s="412"/>
      <c r="H23" s="156"/>
    </row>
    <row r="24" spans="2:8">
      <c r="B24" s="412"/>
      <c r="C24" s="432"/>
      <c r="D24" s="412"/>
      <c r="E24" s="155" t="s">
        <v>362</v>
      </c>
      <c r="F24" s="155">
        <f>SUM($F$16:$F$23)</f>
        <v>74</v>
      </c>
      <c r="G24" s="412"/>
      <c r="H24" s="156"/>
    </row>
    <row r="25" spans="2:8">
      <c r="B25" s="412"/>
      <c r="C25" s="432"/>
      <c r="D25" s="412" t="s">
        <v>363</v>
      </c>
      <c r="E25" s="155" t="s">
        <v>364</v>
      </c>
      <c r="F25" s="155">
        <v>9</v>
      </c>
      <c r="G25" s="412"/>
      <c r="H25" s="156"/>
    </row>
    <row r="26" spans="2:8">
      <c r="B26" s="412"/>
      <c r="C26" s="432"/>
      <c r="D26" s="412"/>
      <c r="E26" s="155" t="s">
        <v>374</v>
      </c>
      <c r="F26" s="155">
        <v>1</v>
      </c>
      <c r="G26" s="412"/>
      <c r="H26" s="156"/>
    </row>
    <row r="27" spans="2:8">
      <c r="B27" s="412"/>
      <c r="C27" s="432"/>
      <c r="D27" s="412"/>
      <c r="E27" s="155" t="s">
        <v>354</v>
      </c>
      <c r="F27" s="155">
        <v>2</v>
      </c>
      <c r="G27" s="412"/>
      <c r="H27" s="156"/>
    </row>
    <row r="28" spans="2:8">
      <c r="B28" s="412"/>
      <c r="C28" s="432"/>
      <c r="D28" s="412"/>
      <c r="E28" s="155" t="s">
        <v>362</v>
      </c>
      <c r="F28" s="155">
        <f>SUM($F$25:$F$27)</f>
        <v>12</v>
      </c>
      <c r="G28" s="412"/>
      <c r="H28" s="156"/>
    </row>
    <row r="29" spans="2:8">
      <c r="B29" s="412"/>
      <c r="C29" s="432" t="s">
        <v>375</v>
      </c>
      <c r="D29" s="412" t="s">
        <v>353</v>
      </c>
      <c r="E29" s="155" t="s">
        <v>376</v>
      </c>
      <c r="F29" s="155">
        <v>45</v>
      </c>
      <c r="G29" s="412"/>
      <c r="H29" s="156"/>
    </row>
    <row r="30" spans="2:8">
      <c r="B30" s="412"/>
      <c r="C30" s="432"/>
      <c r="D30" s="412"/>
      <c r="E30" s="155" t="s">
        <v>362</v>
      </c>
      <c r="F30" s="155">
        <v>45</v>
      </c>
      <c r="G30" s="412"/>
      <c r="H30" s="156"/>
    </row>
    <row r="31" spans="2:8">
      <c r="B31" s="412"/>
      <c r="C31" s="432" t="s">
        <v>377</v>
      </c>
      <c r="D31" s="412" t="s">
        <v>353</v>
      </c>
      <c r="E31" s="155" t="s">
        <v>376</v>
      </c>
      <c r="F31" s="155">
        <v>22</v>
      </c>
      <c r="G31" s="412"/>
      <c r="H31" s="156"/>
    </row>
    <row r="32" spans="2:8">
      <c r="B32" s="412"/>
      <c r="C32" s="432"/>
      <c r="D32" s="412"/>
      <c r="E32" s="155" t="s">
        <v>368</v>
      </c>
      <c r="F32" s="155">
        <v>4</v>
      </c>
      <c r="G32" s="412"/>
      <c r="H32" s="156"/>
    </row>
    <row r="33" spans="2:8">
      <c r="B33" s="412"/>
      <c r="C33" s="432"/>
      <c r="D33" s="412"/>
      <c r="E33" s="155" t="s">
        <v>362</v>
      </c>
      <c r="F33" s="155">
        <f>SUM($F$31:$F$32)</f>
        <v>26</v>
      </c>
      <c r="G33" s="412"/>
      <c r="H33" s="156"/>
    </row>
    <row r="34" spans="2:8">
      <c r="B34" s="412"/>
      <c r="C34" s="432" t="s">
        <v>378</v>
      </c>
      <c r="D34" s="412" t="s">
        <v>353</v>
      </c>
      <c r="E34" s="155" t="s">
        <v>372</v>
      </c>
      <c r="F34" s="155">
        <v>8</v>
      </c>
      <c r="G34" s="412"/>
      <c r="H34" s="156"/>
    </row>
    <row r="35" spans="2:8">
      <c r="B35" s="412"/>
      <c r="C35" s="432"/>
      <c r="D35" s="412"/>
      <c r="E35" s="155" t="s">
        <v>379</v>
      </c>
      <c r="F35" s="155">
        <v>18</v>
      </c>
      <c r="G35" s="412"/>
      <c r="H35" s="156"/>
    </row>
    <row r="36" spans="2:8">
      <c r="B36" s="412"/>
      <c r="C36" s="432"/>
      <c r="D36" s="412"/>
      <c r="E36" s="155" t="s">
        <v>362</v>
      </c>
      <c r="F36" s="155">
        <f>SUM($F$34:$F$35)</f>
        <v>26</v>
      </c>
      <c r="G36" s="412"/>
      <c r="H36" s="156"/>
    </row>
    <row r="37" spans="2:8">
      <c r="B37" s="412"/>
      <c r="C37" s="432" t="s">
        <v>380</v>
      </c>
      <c r="D37" s="412" t="s">
        <v>353</v>
      </c>
      <c r="E37" s="155" t="s">
        <v>381</v>
      </c>
      <c r="F37" s="155">
        <v>19</v>
      </c>
      <c r="G37" s="412"/>
      <c r="H37" s="156"/>
    </row>
    <row r="38" spans="2:8">
      <c r="B38" s="412"/>
      <c r="C38" s="432"/>
      <c r="D38" s="412"/>
      <c r="E38" s="155" t="s">
        <v>376</v>
      </c>
      <c r="F38" s="155">
        <v>2</v>
      </c>
      <c r="G38" s="412"/>
      <c r="H38" s="156"/>
    </row>
    <row r="39" spans="2:8">
      <c r="B39" s="412"/>
      <c r="C39" s="432"/>
      <c r="D39" s="412"/>
      <c r="E39" s="155" t="s">
        <v>382</v>
      </c>
      <c r="F39" s="155">
        <v>2</v>
      </c>
      <c r="G39" s="412"/>
      <c r="H39" s="156"/>
    </row>
    <row r="40" spans="2:8">
      <c r="B40" s="412"/>
      <c r="C40" s="432"/>
      <c r="D40" s="412"/>
      <c r="E40" s="155" t="s">
        <v>362</v>
      </c>
      <c r="F40" s="155">
        <f>SUM($F$37:$F$39)</f>
        <v>23</v>
      </c>
      <c r="G40" s="412"/>
      <c r="H40" s="156"/>
    </row>
    <row r="41" spans="2:8">
      <c r="B41" s="412"/>
      <c r="C41" s="432" t="s">
        <v>383</v>
      </c>
      <c r="D41" s="412" t="s">
        <v>353</v>
      </c>
      <c r="E41" s="155" t="s">
        <v>376</v>
      </c>
      <c r="F41" s="155">
        <v>28</v>
      </c>
      <c r="G41" s="412"/>
      <c r="H41" s="156"/>
    </row>
    <row r="42" spans="2:8">
      <c r="B42" s="412"/>
      <c r="C42" s="432"/>
      <c r="D42" s="412"/>
      <c r="E42" s="155" t="s">
        <v>362</v>
      </c>
      <c r="F42" s="155">
        <v>28</v>
      </c>
      <c r="G42" s="412"/>
      <c r="H42" s="156"/>
    </row>
    <row r="43" spans="2:8">
      <c r="B43" s="412"/>
      <c r="C43" s="432" t="s">
        <v>384</v>
      </c>
      <c r="D43" s="412" t="s">
        <v>353</v>
      </c>
      <c r="E43" s="155" t="s">
        <v>379</v>
      </c>
      <c r="F43" s="155">
        <v>7</v>
      </c>
      <c r="G43" s="412"/>
      <c r="H43" s="156"/>
    </row>
    <row r="44" spans="2:8">
      <c r="B44" s="412"/>
      <c r="C44" s="432"/>
      <c r="D44" s="412"/>
      <c r="E44" s="155" t="s">
        <v>362</v>
      </c>
      <c r="F44" s="155">
        <v>7</v>
      </c>
      <c r="G44" s="412"/>
      <c r="H44" s="156"/>
    </row>
    <row r="45" spans="2:8">
      <c r="B45" s="412"/>
      <c r="C45" s="432" t="s">
        <v>385</v>
      </c>
      <c r="D45" s="412" t="s">
        <v>363</v>
      </c>
      <c r="E45" s="155" t="s">
        <v>386</v>
      </c>
      <c r="F45" s="155">
        <v>1</v>
      </c>
      <c r="G45" s="412"/>
      <c r="H45" s="156"/>
    </row>
    <row r="46" spans="2:8">
      <c r="B46" s="412"/>
      <c r="C46" s="432"/>
      <c r="D46" s="412"/>
      <c r="E46" s="155" t="s">
        <v>362</v>
      </c>
      <c r="F46" s="155">
        <v>1</v>
      </c>
      <c r="G46" s="412"/>
      <c r="H46" s="156"/>
    </row>
    <row r="47" spans="2:8">
      <c r="B47" s="412"/>
      <c r="C47" s="432" t="s">
        <v>387</v>
      </c>
      <c r="D47" s="412" t="s">
        <v>353</v>
      </c>
      <c r="E47" s="155" t="s">
        <v>376</v>
      </c>
      <c r="F47" s="155">
        <v>2</v>
      </c>
      <c r="G47" s="412"/>
      <c r="H47" s="156"/>
    </row>
    <row r="48" spans="2:8">
      <c r="B48" s="412"/>
      <c r="C48" s="432"/>
      <c r="D48" s="412"/>
      <c r="E48" s="155" t="s">
        <v>362</v>
      </c>
      <c r="F48" s="155">
        <v>2</v>
      </c>
      <c r="G48" s="412"/>
      <c r="H48" s="156"/>
    </row>
    <row r="49" spans="2:8">
      <c r="B49" s="413"/>
      <c r="C49" s="412" t="s">
        <v>362</v>
      </c>
      <c r="D49" s="412"/>
      <c r="E49" s="412"/>
      <c r="F49" s="159">
        <f>SUM($F$11,$F$15,$F$24,$F$28,$F$30,$F$33,$F$36,$F$40,$F$42,$F$44,$F$46,$F$48)</f>
        <v>414</v>
      </c>
      <c r="G49" s="412"/>
      <c r="H49" s="156"/>
    </row>
    <row r="50" spans="2:8">
      <c r="B50" s="413" t="s">
        <v>388</v>
      </c>
      <c r="C50" s="434" t="s">
        <v>389</v>
      </c>
      <c r="D50" s="434"/>
      <c r="E50" s="434"/>
      <c r="F50" s="159">
        <v>2</v>
      </c>
      <c r="G50" s="155">
        <v>1</v>
      </c>
      <c r="H50" s="157"/>
    </row>
    <row r="51" spans="2:8">
      <c r="B51" s="413"/>
      <c r="C51" s="434" t="s">
        <v>352</v>
      </c>
      <c r="D51" s="434"/>
      <c r="E51" s="434"/>
      <c r="F51" s="159">
        <v>3</v>
      </c>
      <c r="G51" s="155">
        <v>5</v>
      </c>
      <c r="H51" s="157"/>
    </row>
    <row r="52" spans="2:8">
      <c r="B52" s="413"/>
      <c r="C52" s="434" t="s">
        <v>390</v>
      </c>
      <c r="D52" s="434"/>
      <c r="E52" s="434"/>
      <c r="F52" s="159">
        <v>2</v>
      </c>
      <c r="G52" s="155"/>
      <c r="H52" s="157"/>
    </row>
    <row r="53" spans="2:8">
      <c r="B53" s="413"/>
      <c r="C53" s="434" t="s">
        <v>391</v>
      </c>
      <c r="D53" s="434"/>
      <c r="E53" s="434"/>
      <c r="F53" s="159">
        <v>1</v>
      </c>
      <c r="G53" s="155"/>
      <c r="H53" s="157"/>
    </row>
    <row r="54" spans="2:8">
      <c r="B54" s="413"/>
      <c r="C54" s="434" t="s">
        <v>392</v>
      </c>
      <c r="D54" s="434"/>
      <c r="E54" s="434"/>
      <c r="F54" s="159">
        <v>1</v>
      </c>
      <c r="G54" s="155">
        <v>3</v>
      </c>
      <c r="H54" s="157"/>
    </row>
    <row r="55" spans="2:8">
      <c r="B55" s="413"/>
      <c r="C55" s="434" t="s">
        <v>393</v>
      </c>
      <c r="D55" s="434"/>
      <c r="E55" s="434"/>
      <c r="F55" s="159"/>
      <c r="G55" s="155">
        <v>4</v>
      </c>
      <c r="H55" s="157"/>
    </row>
    <row r="56" spans="2:8">
      <c r="B56" s="413"/>
      <c r="C56" s="434" t="s">
        <v>394</v>
      </c>
      <c r="D56" s="434"/>
      <c r="E56" s="434"/>
      <c r="F56" s="159">
        <v>4</v>
      </c>
      <c r="G56" s="155">
        <v>1</v>
      </c>
      <c r="H56" s="157"/>
    </row>
    <row r="57" spans="2:8">
      <c r="B57" s="413"/>
      <c r="C57" s="434" t="s">
        <v>395</v>
      </c>
      <c r="D57" s="434"/>
      <c r="E57" s="434"/>
      <c r="F57" s="159">
        <v>2</v>
      </c>
      <c r="G57" s="155"/>
      <c r="H57" s="157"/>
    </row>
    <row r="58" spans="2:8">
      <c r="B58" s="413"/>
      <c r="C58" s="412" t="s">
        <v>362</v>
      </c>
      <c r="D58" s="412"/>
      <c r="E58" s="412"/>
      <c r="F58" s="159">
        <f>SUM($F$50:$F$57)</f>
        <v>15</v>
      </c>
      <c r="G58" s="155">
        <f>SUM($G$50:$G$57)</f>
        <v>14</v>
      </c>
      <c r="H58" s="157"/>
    </row>
    <row r="59" spans="2:8">
      <c r="B59" s="433" t="s">
        <v>396</v>
      </c>
      <c r="C59" s="433"/>
      <c r="D59" s="433"/>
      <c r="E59" s="433"/>
      <c r="F59" s="155">
        <f>SUM($F$49,$F$58)</f>
        <v>429</v>
      </c>
      <c r="G59" s="155">
        <f>$G$58</f>
        <v>14</v>
      </c>
      <c r="H59" s="157"/>
    </row>
    <row r="60" spans="2:8">
      <c r="B60" s="153" t="s">
        <v>397</v>
      </c>
      <c r="C60" s="434" t="s">
        <v>398</v>
      </c>
      <c r="D60" s="434"/>
      <c r="E60" s="434"/>
      <c r="F60" s="155">
        <v>83</v>
      </c>
      <c r="G60" s="155">
        <v>94</v>
      </c>
      <c r="H60" s="157"/>
    </row>
    <row r="61" spans="2:8">
      <c r="B61" s="433" t="s">
        <v>399</v>
      </c>
      <c r="C61" s="434" t="s">
        <v>400</v>
      </c>
      <c r="D61" s="434"/>
      <c r="E61" s="434"/>
      <c r="F61" s="155">
        <v>111</v>
      </c>
      <c r="G61" s="155">
        <v>3</v>
      </c>
      <c r="H61" s="157"/>
    </row>
    <row r="62" spans="2:8">
      <c r="B62" s="433"/>
      <c r="C62" s="434" t="s">
        <v>401</v>
      </c>
      <c r="D62" s="434"/>
      <c r="E62" s="434"/>
      <c r="F62" s="155"/>
      <c r="G62" s="155">
        <v>2</v>
      </c>
      <c r="H62" s="157"/>
    </row>
    <row r="63" spans="2:8">
      <c r="B63" s="433"/>
      <c r="C63" s="434" t="s">
        <v>402</v>
      </c>
      <c r="D63" s="434"/>
      <c r="E63" s="434"/>
      <c r="F63" s="155">
        <v>2</v>
      </c>
      <c r="G63" s="155"/>
      <c r="H63" s="157"/>
    </row>
    <row r="64" spans="2:8">
      <c r="B64" s="433"/>
      <c r="C64" s="434" t="s">
        <v>403</v>
      </c>
      <c r="D64" s="434"/>
      <c r="E64" s="434"/>
      <c r="F64" s="155">
        <v>1</v>
      </c>
      <c r="G64" s="155">
        <v>80</v>
      </c>
      <c r="H64" s="157"/>
    </row>
    <row r="65" spans="1:8">
      <c r="B65" s="433"/>
      <c r="C65" s="434" t="s">
        <v>404</v>
      </c>
      <c r="D65" s="434"/>
      <c r="E65" s="434"/>
      <c r="F65" s="155">
        <v>19</v>
      </c>
      <c r="G65" s="155">
        <v>12</v>
      </c>
      <c r="H65" s="157"/>
    </row>
    <row r="66" spans="1:8">
      <c r="B66" s="433"/>
      <c r="C66" s="433" t="s">
        <v>362</v>
      </c>
      <c r="D66" s="433"/>
      <c r="E66" s="433"/>
      <c r="F66" s="155">
        <f>SUM($F$61:$F$65)</f>
        <v>133</v>
      </c>
      <c r="G66" s="155">
        <f>SUM($G$61:$G$65)</f>
        <v>97</v>
      </c>
      <c r="H66" s="157"/>
    </row>
    <row r="67" spans="1:8">
      <c r="B67" s="433" t="s">
        <v>405</v>
      </c>
      <c r="C67" s="433"/>
      <c r="D67" s="433"/>
      <c r="E67" s="433"/>
      <c r="F67" s="155">
        <f>SUM($F$66,$F$59,$F$60)</f>
        <v>645</v>
      </c>
      <c r="G67" s="155">
        <f>SUM($G$66,$G$60,$G$59)</f>
        <v>205</v>
      </c>
      <c r="H67" s="157"/>
    </row>
    <row r="69" spans="1:8">
      <c r="B69" s="153" t="s">
        <v>203</v>
      </c>
      <c r="C69" s="160" t="s">
        <v>406</v>
      </c>
      <c r="D69" s="160" t="s">
        <v>407</v>
      </c>
      <c r="E69" s="153" t="s">
        <v>408</v>
      </c>
    </row>
    <row r="70" spans="1:8">
      <c r="B70" s="155" t="s">
        <v>409</v>
      </c>
      <c r="C70" s="155">
        <v>3</v>
      </c>
      <c r="D70" s="155">
        <v>5</v>
      </c>
      <c r="E70" s="155">
        <v>8</v>
      </c>
      <c r="G70" s="158"/>
      <c r="H70" s="158"/>
    </row>
    <row r="72" spans="1:8">
      <c r="A72" s="143" t="s">
        <v>620</v>
      </c>
    </row>
    <row r="73" spans="1:8" ht="16.5">
      <c r="A73" s="161" t="s">
        <v>411</v>
      </c>
    </row>
    <row r="74" spans="1:8">
      <c r="A74" s="152" t="s">
        <v>412</v>
      </c>
    </row>
  </sheetData>
  <mergeCells count="45">
    <mergeCell ref="D41:D42"/>
    <mergeCell ref="C43:C44"/>
    <mergeCell ref="C47:C48"/>
    <mergeCell ref="D47:D48"/>
    <mergeCell ref="G3:G49"/>
    <mergeCell ref="D12:D15"/>
    <mergeCell ref="C16:C28"/>
    <mergeCell ref="D16:D24"/>
    <mergeCell ref="D25:D28"/>
    <mergeCell ref="C29:C30"/>
    <mergeCell ref="D29:D30"/>
    <mergeCell ref="C31:C33"/>
    <mergeCell ref="D31:D33"/>
    <mergeCell ref="C34:C36"/>
    <mergeCell ref="D34:D36"/>
    <mergeCell ref="C37:C40"/>
    <mergeCell ref="D37:D40"/>
    <mergeCell ref="C41:C42"/>
    <mergeCell ref="C49:E49"/>
    <mergeCell ref="B50:B58"/>
    <mergeCell ref="C50:E50"/>
    <mergeCell ref="C51:E51"/>
    <mergeCell ref="C52:E52"/>
    <mergeCell ref="C53:E53"/>
    <mergeCell ref="C54:E54"/>
    <mergeCell ref="C55:E55"/>
    <mergeCell ref="C56:E56"/>
    <mergeCell ref="C57:E57"/>
    <mergeCell ref="B3:B49"/>
    <mergeCell ref="C3:C15"/>
    <mergeCell ref="D3:D11"/>
    <mergeCell ref="D43:D44"/>
    <mergeCell ref="C45:C46"/>
    <mergeCell ref="D45:D46"/>
    <mergeCell ref="B67:E67"/>
    <mergeCell ref="C58:E58"/>
    <mergeCell ref="B59:E59"/>
    <mergeCell ref="C60:E60"/>
    <mergeCell ref="B61:B66"/>
    <mergeCell ref="C61:E61"/>
    <mergeCell ref="C62:E62"/>
    <mergeCell ref="C63:E63"/>
    <mergeCell ref="C64:E64"/>
    <mergeCell ref="C65:E65"/>
    <mergeCell ref="C66:E66"/>
  </mergeCells>
  <phoneticPr fontId="42" type="noConversion"/>
  <hyperlinks>
    <hyperlink ref="A73" r:id="rId1" xr:uid="{277E7FFB-0B75-4C48-89CB-5AF5F27DFAC1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1213-C8A8-42E1-901F-01A0FDCC3DAC}">
  <dimension ref="A1:E96"/>
  <sheetViews>
    <sheetView workbookViewId="0">
      <selection sqref="A1:E1"/>
    </sheetView>
  </sheetViews>
  <sheetFormatPr defaultColWidth="9" defaultRowHeight="16.5"/>
  <cols>
    <col min="1" max="1" width="48.5" style="14" customWidth="1"/>
    <col min="2" max="3" width="28.375" style="14" customWidth="1"/>
    <col min="4" max="5" width="28.5" style="14" customWidth="1"/>
    <col min="6" max="16384" width="9" style="14"/>
  </cols>
  <sheetData>
    <row r="1" spans="1:5" ht="33.950000000000003" customHeight="1">
      <c r="A1" s="435" t="s">
        <v>623</v>
      </c>
      <c r="B1" s="436"/>
      <c r="C1" s="436"/>
      <c r="D1" s="436"/>
      <c r="E1" s="436"/>
    </row>
    <row r="2" spans="1:5" ht="36.950000000000003" customHeight="1">
      <c r="A2" s="235" t="s">
        <v>624</v>
      </c>
      <c r="B2" s="235" t="s">
        <v>625</v>
      </c>
      <c r="C2" s="235" t="s">
        <v>626</v>
      </c>
      <c r="D2" s="235" t="s">
        <v>340</v>
      </c>
      <c r="E2" s="235" t="s">
        <v>342</v>
      </c>
    </row>
    <row r="3" spans="1:5" ht="32.1" customHeight="1">
      <c r="A3" s="236" t="s">
        <v>627</v>
      </c>
      <c r="B3" s="237">
        <v>74348751</v>
      </c>
      <c r="C3" s="237">
        <v>379857</v>
      </c>
      <c r="D3" s="237">
        <v>51967568</v>
      </c>
      <c r="E3" s="237">
        <v>3140884</v>
      </c>
    </row>
    <row r="4" spans="1:5" ht="32.1" customHeight="1">
      <c r="A4" s="236" t="s">
        <v>628</v>
      </c>
      <c r="B4" s="237">
        <v>58017647</v>
      </c>
      <c r="C4" s="237">
        <v>292381</v>
      </c>
      <c r="D4" s="237">
        <v>40387789</v>
      </c>
      <c r="E4" s="237">
        <v>2378141</v>
      </c>
    </row>
    <row r="5" spans="1:5" ht="32.1" customHeight="1">
      <c r="A5" s="236" t="s">
        <v>629</v>
      </c>
      <c r="B5" s="237">
        <v>32001687</v>
      </c>
      <c r="C5" s="237">
        <v>145073</v>
      </c>
      <c r="D5" s="237">
        <v>21908363</v>
      </c>
      <c r="E5" s="237">
        <v>1634633</v>
      </c>
    </row>
    <row r="6" spans="1:5" ht="32.1" customHeight="1">
      <c r="A6" s="236" t="s">
        <v>630</v>
      </c>
      <c r="B6" s="237">
        <v>18923238</v>
      </c>
      <c r="C6" s="237">
        <v>98591</v>
      </c>
      <c r="D6" s="237">
        <v>13311076</v>
      </c>
      <c r="E6" s="237">
        <v>711966</v>
      </c>
    </row>
    <row r="7" spans="1:5" ht="32.1" customHeight="1">
      <c r="A7" s="236" t="s">
        <v>631</v>
      </c>
      <c r="B7" s="237">
        <v>1999044</v>
      </c>
      <c r="C7" s="237">
        <v>15521</v>
      </c>
      <c r="D7" s="237">
        <v>1531150</v>
      </c>
      <c r="E7" s="237">
        <v>9692</v>
      </c>
    </row>
    <row r="8" spans="1:5" ht="32.1" customHeight="1">
      <c r="A8" s="236" t="s">
        <v>632</v>
      </c>
      <c r="B8" s="237">
        <v>1839441</v>
      </c>
      <c r="C8" s="237">
        <v>10132</v>
      </c>
      <c r="D8" s="237">
        <v>1217876</v>
      </c>
      <c r="E8" s="237">
        <v>5552</v>
      </c>
    </row>
    <row r="9" spans="1:5" ht="32.1" customHeight="1">
      <c r="A9" s="236" t="s">
        <v>633</v>
      </c>
      <c r="B9" s="237">
        <v>2085479</v>
      </c>
      <c r="C9" s="237">
        <v>14891</v>
      </c>
      <c r="D9" s="237">
        <v>1420722</v>
      </c>
      <c r="E9" s="237">
        <v>11249</v>
      </c>
    </row>
    <row r="10" spans="1:5" ht="32.1" customHeight="1">
      <c r="A10" s="236" t="s">
        <v>634</v>
      </c>
      <c r="B10" s="237">
        <v>1168758</v>
      </c>
      <c r="C10" s="237">
        <v>8173</v>
      </c>
      <c r="D10" s="237">
        <v>998602</v>
      </c>
      <c r="E10" s="237">
        <v>5049</v>
      </c>
    </row>
    <row r="11" spans="1:5" ht="32.1" customHeight="1">
      <c r="A11" s="236" t="s">
        <v>635</v>
      </c>
      <c r="B11" s="237">
        <v>16331104</v>
      </c>
      <c r="C11" s="237">
        <v>87476</v>
      </c>
      <c r="D11" s="237">
        <v>11579779</v>
      </c>
      <c r="E11" s="237">
        <v>762743</v>
      </c>
    </row>
    <row r="12" spans="1:5" ht="32.1" customHeight="1">
      <c r="A12" s="236" t="s">
        <v>636</v>
      </c>
      <c r="B12" s="237">
        <v>0</v>
      </c>
      <c r="C12" s="237">
        <v>419</v>
      </c>
      <c r="D12" s="237">
        <v>0</v>
      </c>
      <c r="E12" s="237">
        <v>11380</v>
      </c>
    </row>
    <row r="13" spans="1:5" ht="32.1" customHeight="1">
      <c r="A13" s="236" t="s">
        <v>637</v>
      </c>
      <c r="B13" s="237">
        <v>0</v>
      </c>
      <c r="C13" s="237">
        <v>6</v>
      </c>
      <c r="D13" s="237">
        <v>0</v>
      </c>
      <c r="E13" s="237">
        <v>46</v>
      </c>
    </row>
    <row r="14" spans="1:5" ht="32.1" customHeight="1">
      <c r="A14" s="236" t="s">
        <v>638</v>
      </c>
      <c r="B14" s="237">
        <v>162668</v>
      </c>
      <c r="C14" s="237">
        <v>578</v>
      </c>
      <c r="D14" s="237">
        <v>109706</v>
      </c>
      <c r="E14" s="237">
        <v>5374</v>
      </c>
    </row>
    <row r="15" spans="1:5" ht="32.1" customHeight="1">
      <c r="A15" s="236" t="s">
        <v>639</v>
      </c>
      <c r="B15" s="237">
        <v>152</v>
      </c>
      <c r="C15" s="237">
        <v>2</v>
      </c>
      <c r="D15" s="237">
        <v>12</v>
      </c>
      <c r="E15" s="237">
        <v>0</v>
      </c>
    </row>
    <row r="16" spans="1:5" ht="32.1" customHeight="1">
      <c r="A16" s="236" t="s">
        <v>640</v>
      </c>
      <c r="B16" s="237">
        <v>0</v>
      </c>
      <c r="C16" s="237">
        <v>220</v>
      </c>
      <c r="D16" s="237">
        <v>0</v>
      </c>
      <c r="E16" s="237">
        <v>3107</v>
      </c>
    </row>
    <row r="17" spans="1:5" ht="32.1" customHeight="1">
      <c r="A17" s="236" t="s">
        <v>641</v>
      </c>
      <c r="B17" s="237">
        <v>147402</v>
      </c>
      <c r="C17" s="237">
        <v>522</v>
      </c>
      <c r="D17" s="237">
        <v>109680</v>
      </c>
      <c r="E17" s="237">
        <v>21364</v>
      </c>
    </row>
    <row r="18" spans="1:5" ht="32.1" customHeight="1">
      <c r="A18" s="236" t="s">
        <v>642</v>
      </c>
      <c r="B18" s="237">
        <v>256977</v>
      </c>
      <c r="C18" s="237">
        <v>1459</v>
      </c>
      <c r="D18" s="237">
        <v>216790</v>
      </c>
      <c r="E18" s="237">
        <v>6336</v>
      </c>
    </row>
    <row r="19" spans="1:5" ht="32.1" customHeight="1">
      <c r="A19" s="236" t="s">
        <v>643</v>
      </c>
      <c r="B19" s="237">
        <v>69316</v>
      </c>
      <c r="C19" s="237">
        <v>263</v>
      </c>
      <c r="D19" s="237">
        <v>60764</v>
      </c>
      <c r="E19" s="237">
        <v>3231</v>
      </c>
    </row>
    <row r="20" spans="1:5" ht="32.1" customHeight="1">
      <c r="A20" s="236" t="s">
        <v>644</v>
      </c>
      <c r="B20" s="237">
        <v>0</v>
      </c>
      <c r="C20" s="237">
        <v>3</v>
      </c>
      <c r="D20" s="237">
        <v>0</v>
      </c>
      <c r="E20" s="237">
        <v>212</v>
      </c>
    </row>
    <row r="21" spans="1:5" ht="32.1" customHeight="1">
      <c r="A21" s="236" t="s">
        <v>645</v>
      </c>
      <c r="B21" s="237">
        <v>77206</v>
      </c>
      <c r="C21" s="237">
        <v>344</v>
      </c>
      <c r="D21" s="237">
        <v>43488</v>
      </c>
      <c r="E21" s="237">
        <v>2383</v>
      </c>
    </row>
    <row r="22" spans="1:5" ht="32.1" customHeight="1">
      <c r="A22" s="236" t="s">
        <v>646</v>
      </c>
      <c r="B22" s="237">
        <v>496442</v>
      </c>
      <c r="C22" s="237">
        <v>2092</v>
      </c>
      <c r="D22" s="237">
        <v>271160</v>
      </c>
      <c r="E22" s="237">
        <v>17625</v>
      </c>
    </row>
    <row r="23" spans="1:5" ht="32.1" customHeight="1">
      <c r="A23" s="236" t="s">
        <v>647</v>
      </c>
      <c r="B23" s="237">
        <v>0</v>
      </c>
      <c r="C23" s="237">
        <v>28</v>
      </c>
      <c r="D23" s="237">
        <v>0</v>
      </c>
      <c r="E23" s="237">
        <v>1029</v>
      </c>
    </row>
    <row r="24" spans="1:5" ht="32.1" customHeight="1">
      <c r="A24" s="236" t="s">
        <v>648</v>
      </c>
      <c r="B24" s="237">
        <v>81124</v>
      </c>
      <c r="C24" s="237">
        <v>783</v>
      </c>
      <c r="D24" s="237">
        <v>57980</v>
      </c>
      <c r="E24" s="237">
        <v>916</v>
      </c>
    </row>
    <row r="25" spans="1:5" ht="32.1" customHeight="1">
      <c r="A25" s="236" t="s">
        <v>649</v>
      </c>
      <c r="B25" s="237">
        <v>175318</v>
      </c>
      <c r="C25" s="237">
        <v>602</v>
      </c>
      <c r="D25" s="237">
        <v>117066</v>
      </c>
      <c r="E25" s="237">
        <v>9015</v>
      </c>
    </row>
    <row r="26" spans="1:5" ht="32.1" customHeight="1">
      <c r="A26" s="236" t="s">
        <v>650</v>
      </c>
      <c r="B26" s="237">
        <v>142944</v>
      </c>
      <c r="C26" s="237">
        <v>776</v>
      </c>
      <c r="D26" s="237">
        <v>97191</v>
      </c>
      <c r="E26" s="237">
        <v>2333</v>
      </c>
    </row>
    <row r="27" spans="1:5" ht="32.1" customHeight="1">
      <c r="A27" s="236" t="s">
        <v>651</v>
      </c>
      <c r="B27" s="237">
        <v>0</v>
      </c>
      <c r="C27" s="237">
        <v>924</v>
      </c>
      <c r="D27" s="237">
        <v>0</v>
      </c>
      <c r="E27" s="237">
        <v>61259</v>
      </c>
    </row>
    <row r="28" spans="1:5" ht="32.1" customHeight="1">
      <c r="A28" s="236" t="s">
        <v>652</v>
      </c>
      <c r="B28" s="237">
        <v>520236</v>
      </c>
      <c r="C28" s="237">
        <v>2349</v>
      </c>
      <c r="D28" s="237">
        <v>403283</v>
      </c>
      <c r="E28" s="237">
        <v>11930</v>
      </c>
    </row>
    <row r="29" spans="1:5" ht="32.1" customHeight="1">
      <c r="A29" s="236" t="s">
        <v>653</v>
      </c>
      <c r="B29" s="237">
        <v>0</v>
      </c>
      <c r="C29" s="237">
        <v>13</v>
      </c>
      <c r="D29" s="237">
        <v>0</v>
      </c>
      <c r="E29" s="237">
        <v>269</v>
      </c>
    </row>
    <row r="30" spans="1:5" ht="32.1" customHeight="1">
      <c r="A30" s="236" t="s">
        <v>654</v>
      </c>
      <c r="B30" s="237">
        <v>142020</v>
      </c>
      <c r="C30" s="237">
        <v>777</v>
      </c>
      <c r="D30" s="237">
        <v>91238</v>
      </c>
      <c r="E30" s="237">
        <v>1144</v>
      </c>
    </row>
    <row r="31" spans="1:5" ht="32.1" customHeight="1">
      <c r="A31" s="236" t="s">
        <v>655</v>
      </c>
      <c r="B31" s="237">
        <v>103106</v>
      </c>
      <c r="C31" s="237">
        <v>690</v>
      </c>
      <c r="D31" s="237">
        <v>58673</v>
      </c>
      <c r="E31" s="237">
        <v>1770</v>
      </c>
    </row>
    <row r="32" spans="1:5" ht="32.1" customHeight="1">
      <c r="A32" s="236" t="s">
        <v>656</v>
      </c>
      <c r="B32" s="237">
        <v>1784</v>
      </c>
      <c r="C32" s="237">
        <v>8</v>
      </c>
      <c r="D32" s="237">
        <v>1510</v>
      </c>
      <c r="E32" s="237">
        <v>17</v>
      </c>
    </row>
    <row r="33" spans="1:5" ht="32.1" customHeight="1">
      <c r="A33" s="236" t="s">
        <v>657</v>
      </c>
      <c r="B33" s="237">
        <v>0</v>
      </c>
      <c r="C33" s="237">
        <v>4</v>
      </c>
      <c r="D33" s="237">
        <v>0</v>
      </c>
      <c r="E33" s="237">
        <v>189</v>
      </c>
    </row>
    <row r="34" spans="1:5" ht="32.1" customHeight="1">
      <c r="A34" s="236" t="s">
        <v>658</v>
      </c>
      <c r="B34" s="237">
        <v>197823</v>
      </c>
      <c r="C34" s="237">
        <v>1377</v>
      </c>
      <c r="D34" s="237">
        <v>98753</v>
      </c>
      <c r="E34" s="237">
        <v>2292</v>
      </c>
    </row>
    <row r="35" spans="1:5" ht="32.1" customHeight="1">
      <c r="A35" s="236" t="s">
        <v>659</v>
      </c>
      <c r="B35" s="237">
        <v>318776</v>
      </c>
      <c r="C35" s="237">
        <v>1872</v>
      </c>
      <c r="D35" s="237">
        <v>170911</v>
      </c>
      <c r="E35" s="237">
        <v>3269</v>
      </c>
    </row>
    <row r="36" spans="1:5" ht="32.1" customHeight="1">
      <c r="A36" s="236" t="s">
        <v>660</v>
      </c>
      <c r="B36" s="237">
        <v>291490</v>
      </c>
      <c r="C36" s="237">
        <v>1694</v>
      </c>
      <c r="D36" s="237">
        <v>216602</v>
      </c>
      <c r="E36" s="237">
        <v>3609</v>
      </c>
    </row>
    <row r="37" spans="1:5" ht="32.1" customHeight="1">
      <c r="A37" s="236" t="s">
        <v>661</v>
      </c>
      <c r="B37" s="237">
        <v>0</v>
      </c>
      <c r="C37" s="237">
        <v>1</v>
      </c>
      <c r="D37" s="237">
        <v>0</v>
      </c>
      <c r="E37" s="237">
        <v>44</v>
      </c>
    </row>
    <row r="38" spans="1:5" ht="32.1" customHeight="1">
      <c r="A38" s="236" t="s">
        <v>662</v>
      </c>
      <c r="B38" s="237">
        <v>5184</v>
      </c>
      <c r="C38" s="237">
        <v>36</v>
      </c>
      <c r="D38" s="237">
        <v>4289</v>
      </c>
      <c r="E38" s="237">
        <v>42</v>
      </c>
    </row>
    <row r="39" spans="1:5" ht="32.1" customHeight="1">
      <c r="A39" s="236" t="s">
        <v>663</v>
      </c>
      <c r="B39" s="237">
        <v>656</v>
      </c>
      <c r="C39" s="237">
        <v>4</v>
      </c>
      <c r="D39" s="237">
        <v>225</v>
      </c>
      <c r="E39" s="237">
        <v>6</v>
      </c>
    </row>
    <row r="40" spans="1:5" ht="32.1" customHeight="1">
      <c r="A40" s="236" t="s">
        <v>664</v>
      </c>
      <c r="B40" s="237">
        <v>0</v>
      </c>
      <c r="C40" s="237">
        <v>2</v>
      </c>
      <c r="D40" s="237">
        <v>0</v>
      </c>
      <c r="E40" s="237">
        <v>109</v>
      </c>
    </row>
    <row r="41" spans="1:5" ht="32.1" customHeight="1">
      <c r="A41" s="236" t="s">
        <v>665</v>
      </c>
      <c r="B41" s="237">
        <v>725852</v>
      </c>
      <c r="C41" s="237">
        <v>2521</v>
      </c>
      <c r="D41" s="237">
        <v>401412</v>
      </c>
      <c r="E41" s="237">
        <v>24683</v>
      </c>
    </row>
    <row r="42" spans="1:5" ht="32.1" customHeight="1">
      <c r="A42" s="236" t="s">
        <v>666</v>
      </c>
      <c r="B42" s="237">
        <v>0</v>
      </c>
      <c r="C42" s="237">
        <v>4</v>
      </c>
      <c r="D42" s="237">
        <v>0</v>
      </c>
      <c r="E42" s="237">
        <v>57</v>
      </c>
    </row>
    <row r="43" spans="1:5" ht="32.1" customHeight="1">
      <c r="A43" s="236" t="s">
        <v>667</v>
      </c>
      <c r="B43" s="237">
        <v>0</v>
      </c>
      <c r="C43" s="237">
        <v>184</v>
      </c>
      <c r="D43" s="237">
        <v>0</v>
      </c>
      <c r="E43" s="237">
        <v>6874</v>
      </c>
    </row>
    <row r="44" spans="1:5" ht="32.1" customHeight="1">
      <c r="A44" s="236" t="s">
        <v>668</v>
      </c>
      <c r="B44" s="237">
        <v>0</v>
      </c>
      <c r="C44" s="237">
        <v>415</v>
      </c>
      <c r="D44" s="237">
        <v>0</v>
      </c>
      <c r="E44" s="237">
        <v>14723</v>
      </c>
    </row>
    <row r="45" spans="1:5" ht="32.1" customHeight="1">
      <c r="A45" s="236" t="s">
        <v>669</v>
      </c>
      <c r="B45" s="237">
        <v>0</v>
      </c>
      <c r="C45" s="237">
        <v>4</v>
      </c>
      <c r="D45" s="237">
        <v>0</v>
      </c>
      <c r="E45" s="237">
        <v>294</v>
      </c>
    </row>
    <row r="46" spans="1:5" ht="32.1" customHeight="1">
      <c r="A46" s="236" t="s">
        <v>670</v>
      </c>
      <c r="B46" s="237">
        <v>0</v>
      </c>
      <c r="C46" s="237">
        <v>1</v>
      </c>
      <c r="D46" s="237">
        <v>0</v>
      </c>
      <c r="E46" s="237">
        <v>0</v>
      </c>
    </row>
    <row r="47" spans="1:5" ht="32.1" customHeight="1">
      <c r="A47" s="236" t="s">
        <v>671</v>
      </c>
      <c r="B47" s="237">
        <v>2032</v>
      </c>
      <c r="C47" s="237">
        <v>12</v>
      </c>
      <c r="D47" s="237">
        <v>732</v>
      </c>
      <c r="E47" s="237">
        <v>10</v>
      </c>
    </row>
    <row r="48" spans="1:5" ht="32.1" customHeight="1">
      <c r="A48" s="236" t="s">
        <v>672</v>
      </c>
      <c r="B48" s="237">
        <v>0</v>
      </c>
      <c r="C48" s="237">
        <v>138</v>
      </c>
      <c r="D48" s="237">
        <v>0</v>
      </c>
      <c r="E48" s="237">
        <v>788</v>
      </c>
    </row>
    <row r="49" spans="1:5" ht="32.1" customHeight="1">
      <c r="A49" s="236" t="s">
        <v>673</v>
      </c>
      <c r="B49" s="237">
        <v>254891</v>
      </c>
      <c r="C49" s="237">
        <v>731</v>
      </c>
      <c r="D49" s="237">
        <v>210302</v>
      </c>
      <c r="E49" s="237">
        <v>11831</v>
      </c>
    </row>
    <row r="50" spans="1:5" ht="32.1" customHeight="1">
      <c r="A50" s="236" t="s">
        <v>674</v>
      </c>
      <c r="B50" s="237">
        <v>203228</v>
      </c>
      <c r="C50" s="237">
        <v>818</v>
      </c>
      <c r="D50" s="237">
        <v>176930</v>
      </c>
      <c r="E50" s="237">
        <v>10608</v>
      </c>
    </row>
    <row r="51" spans="1:5" ht="32.1" customHeight="1">
      <c r="A51" s="236" t="s">
        <v>675</v>
      </c>
      <c r="B51" s="237">
        <v>0</v>
      </c>
      <c r="C51" s="237">
        <v>4</v>
      </c>
      <c r="D51" s="237">
        <v>0</v>
      </c>
      <c r="E51" s="237">
        <v>178</v>
      </c>
    </row>
    <row r="52" spans="1:5" ht="32.1" customHeight="1">
      <c r="A52" s="236" t="s">
        <v>676</v>
      </c>
      <c r="B52" s="237">
        <v>100850</v>
      </c>
      <c r="C52" s="237">
        <v>658</v>
      </c>
      <c r="D52" s="237">
        <v>63073</v>
      </c>
      <c r="E52" s="237">
        <v>1153</v>
      </c>
    </row>
    <row r="53" spans="1:5" ht="32.1" customHeight="1">
      <c r="A53" s="236" t="s">
        <v>677</v>
      </c>
      <c r="B53" s="237">
        <v>0</v>
      </c>
      <c r="C53" s="237">
        <v>2</v>
      </c>
      <c r="D53" s="237">
        <v>0</v>
      </c>
      <c r="E53" s="237">
        <v>96</v>
      </c>
    </row>
    <row r="54" spans="1:5" ht="32.1" customHeight="1">
      <c r="A54" s="236" t="s">
        <v>678</v>
      </c>
      <c r="B54" s="237">
        <v>0</v>
      </c>
      <c r="C54" s="237">
        <v>6</v>
      </c>
      <c r="D54" s="237">
        <v>0</v>
      </c>
      <c r="E54" s="237">
        <v>52</v>
      </c>
    </row>
    <row r="55" spans="1:5" ht="32.1" customHeight="1">
      <c r="A55" s="236" t="s">
        <v>679</v>
      </c>
      <c r="B55" s="237">
        <v>40280</v>
      </c>
      <c r="C55" s="237">
        <v>206</v>
      </c>
      <c r="D55" s="237">
        <v>18632</v>
      </c>
      <c r="E55" s="237">
        <v>698</v>
      </c>
    </row>
    <row r="56" spans="1:5" ht="32.1" customHeight="1">
      <c r="A56" s="236" t="s">
        <v>680</v>
      </c>
      <c r="B56" s="237">
        <v>54742</v>
      </c>
      <c r="C56" s="237">
        <v>202</v>
      </c>
      <c r="D56" s="237">
        <v>33931</v>
      </c>
      <c r="E56" s="237">
        <v>773</v>
      </c>
    </row>
    <row r="57" spans="1:5" ht="32.1" customHeight="1">
      <c r="A57" s="236" t="s">
        <v>681</v>
      </c>
      <c r="B57" s="237">
        <v>141344</v>
      </c>
      <c r="C57" s="237">
        <v>667</v>
      </c>
      <c r="D57" s="237">
        <v>127768</v>
      </c>
      <c r="E57" s="237">
        <v>6919</v>
      </c>
    </row>
    <row r="58" spans="1:5" ht="32.1" customHeight="1">
      <c r="A58" s="236" t="s">
        <v>682</v>
      </c>
      <c r="B58" s="237">
        <v>0</v>
      </c>
      <c r="C58" s="237">
        <v>606</v>
      </c>
      <c r="D58" s="237">
        <v>0</v>
      </c>
      <c r="E58" s="237">
        <v>22354</v>
      </c>
    </row>
    <row r="59" spans="1:5" ht="32.1" customHeight="1">
      <c r="A59" s="236" t="s">
        <v>683</v>
      </c>
      <c r="B59" s="237">
        <v>0</v>
      </c>
      <c r="C59" s="237">
        <v>2</v>
      </c>
      <c r="D59" s="237">
        <v>0</v>
      </c>
      <c r="E59" s="237">
        <v>10</v>
      </c>
    </row>
    <row r="60" spans="1:5" ht="32.1" customHeight="1">
      <c r="A60" s="236" t="s">
        <v>684</v>
      </c>
      <c r="B60" s="237">
        <v>45481</v>
      </c>
      <c r="C60" s="237">
        <v>596</v>
      </c>
      <c r="D60" s="237">
        <v>28477</v>
      </c>
      <c r="E60" s="237">
        <v>1646</v>
      </c>
    </row>
    <row r="61" spans="1:5" ht="32.1" customHeight="1">
      <c r="A61" s="236" t="s">
        <v>685</v>
      </c>
      <c r="B61" s="237">
        <v>46410</v>
      </c>
      <c r="C61" s="237">
        <v>231</v>
      </c>
      <c r="D61" s="237">
        <v>20449</v>
      </c>
      <c r="E61" s="237">
        <v>856</v>
      </c>
    </row>
    <row r="62" spans="1:5" ht="32.1" customHeight="1">
      <c r="A62" s="236" t="s">
        <v>686</v>
      </c>
      <c r="B62" s="237">
        <v>0</v>
      </c>
      <c r="C62" s="237">
        <v>90</v>
      </c>
      <c r="D62" s="237">
        <v>0</v>
      </c>
      <c r="E62" s="237">
        <v>4556</v>
      </c>
    </row>
    <row r="63" spans="1:5" ht="32.1" customHeight="1">
      <c r="A63" s="236" t="s">
        <v>687</v>
      </c>
      <c r="B63" s="237">
        <v>389199</v>
      </c>
      <c r="C63" s="237">
        <v>1413</v>
      </c>
      <c r="D63" s="237">
        <v>318247</v>
      </c>
      <c r="E63" s="237">
        <v>16979</v>
      </c>
    </row>
    <row r="64" spans="1:5" ht="32.1" customHeight="1">
      <c r="A64" s="236" t="s">
        <v>688</v>
      </c>
      <c r="B64" s="237">
        <v>1222</v>
      </c>
      <c r="C64" s="237">
        <v>8</v>
      </c>
      <c r="D64" s="237">
        <v>780</v>
      </c>
      <c r="E64" s="237">
        <v>10</v>
      </c>
    </row>
    <row r="65" spans="1:5" ht="32.1" customHeight="1">
      <c r="A65" s="236" t="s">
        <v>689</v>
      </c>
      <c r="B65" s="237">
        <v>0</v>
      </c>
      <c r="C65" s="237">
        <v>2746</v>
      </c>
      <c r="D65" s="237">
        <v>0</v>
      </c>
      <c r="E65" s="237">
        <v>37755</v>
      </c>
    </row>
    <row r="66" spans="1:5" ht="32.1" customHeight="1">
      <c r="A66" s="236" t="s">
        <v>690</v>
      </c>
      <c r="B66" s="237">
        <v>28891</v>
      </c>
      <c r="C66" s="237">
        <v>194</v>
      </c>
      <c r="D66" s="237">
        <v>7078</v>
      </c>
      <c r="E66" s="237">
        <v>821</v>
      </c>
    </row>
    <row r="67" spans="1:5" ht="32.1" customHeight="1">
      <c r="A67" s="236" t="s">
        <v>691</v>
      </c>
      <c r="B67" s="237">
        <v>300</v>
      </c>
      <c r="C67" s="237">
        <v>3</v>
      </c>
      <c r="D67" s="237">
        <v>303</v>
      </c>
      <c r="E67" s="237">
        <v>3</v>
      </c>
    </row>
    <row r="68" spans="1:5" ht="32.1" customHeight="1">
      <c r="A68" s="236" t="s">
        <v>692</v>
      </c>
      <c r="B68" s="237">
        <v>2435612</v>
      </c>
      <c r="C68" s="237">
        <v>8701</v>
      </c>
      <c r="D68" s="237">
        <v>1806490</v>
      </c>
      <c r="E68" s="237">
        <v>50227</v>
      </c>
    </row>
    <row r="69" spans="1:5" ht="32.1" customHeight="1">
      <c r="A69" s="236" t="s">
        <v>693</v>
      </c>
      <c r="B69" s="237">
        <v>0</v>
      </c>
      <c r="C69" s="237">
        <v>342</v>
      </c>
      <c r="D69" s="237">
        <v>0</v>
      </c>
      <c r="E69" s="237">
        <v>12122</v>
      </c>
    </row>
    <row r="70" spans="1:5" ht="32.1" customHeight="1">
      <c r="A70" s="236" t="s">
        <v>694</v>
      </c>
      <c r="B70" s="237">
        <v>886638</v>
      </c>
      <c r="C70" s="237">
        <v>4463</v>
      </c>
      <c r="D70" s="237">
        <v>743583</v>
      </c>
      <c r="E70" s="237">
        <v>23389</v>
      </c>
    </row>
    <row r="71" spans="1:5" ht="32.1" customHeight="1">
      <c r="A71" s="236" t="s">
        <v>695</v>
      </c>
      <c r="B71" s="237">
        <v>0</v>
      </c>
      <c r="C71" s="237">
        <v>389</v>
      </c>
      <c r="D71" s="237">
        <v>0</v>
      </c>
      <c r="E71" s="237">
        <v>23631</v>
      </c>
    </row>
    <row r="72" spans="1:5" ht="32.1" customHeight="1">
      <c r="A72" s="236" t="s">
        <v>696</v>
      </c>
      <c r="B72" s="237">
        <v>1131693</v>
      </c>
      <c r="C72" s="237">
        <v>6876</v>
      </c>
      <c r="D72" s="237">
        <v>826675</v>
      </c>
      <c r="E72" s="237">
        <v>22896</v>
      </c>
    </row>
    <row r="73" spans="1:5" ht="32.1" customHeight="1">
      <c r="A73" s="236" t="s">
        <v>697</v>
      </c>
      <c r="B73" s="237">
        <v>1528390</v>
      </c>
      <c r="C73" s="237">
        <v>9035</v>
      </c>
      <c r="D73" s="237">
        <v>1043696</v>
      </c>
      <c r="E73" s="237">
        <v>25783</v>
      </c>
    </row>
    <row r="74" spans="1:5" ht="32.1" customHeight="1">
      <c r="A74" s="236" t="s">
        <v>698</v>
      </c>
      <c r="B74" s="237">
        <v>1574314</v>
      </c>
      <c r="C74" s="237">
        <v>9298</v>
      </c>
      <c r="D74" s="237">
        <v>1018549</v>
      </c>
      <c r="E74" s="237">
        <v>23514</v>
      </c>
    </row>
    <row r="75" spans="1:5" ht="32.1" customHeight="1">
      <c r="A75" s="236" t="s">
        <v>699</v>
      </c>
      <c r="B75" s="237">
        <v>45830</v>
      </c>
      <c r="C75" s="237">
        <v>276</v>
      </c>
      <c r="D75" s="237">
        <v>32737</v>
      </c>
      <c r="E75" s="237">
        <v>812</v>
      </c>
    </row>
    <row r="76" spans="1:5" ht="32.1" customHeight="1">
      <c r="A76" s="236" t="s">
        <v>700</v>
      </c>
      <c r="B76" s="237">
        <v>0</v>
      </c>
      <c r="C76" s="237">
        <v>474</v>
      </c>
      <c r="D76" s="237">
        <v>0</v>
      </c>
      <c r="E76" s="237">
        <v>3156</v>
      </c>
    </row>
    <row r="77" spans="1:5" ht="32.1" customHeight="1">
      <c r="A77" s="236" t="s">
        <v>701</v>
      </c>
      <c r="B77" s="237">
        <v>39270</v>
      </c>
      <c r="C77" s="237">
        <v>286</v>
      </c>
      <c r="D77" s="237">
        <v>23112</v>
      </c>
      <c r="E77" s="237">
        <v>642</v>
      </c>
    </row>
    <row r="78" spans="1:5" ht="32.1" customHeight="1">
      <c r="A78" s="236" t="s">
        <v>702</v>
      </c>
      <c r="B78" s="237">
        <v>0</v>
      </c>
      <c r="C78" s="237">
        <v>670</v>
      </c>
      <c r="D78" s="237">
        <v>0</v>
      </c>
      <c r="E78" s="237">
        <v>28199</v>
      </c>
    </row>
    <row r="79" spans="1:5" ht="32.1" customHeight="1">
      <c r="A79" s="236" t="s">
        <v>703</v>
      </c>
      <c r="B79" s="237">
        <v>282786</v>
      </c>
      <c r="C79" s="237">
        <v>1066</v>
      </c>
      <c r="D79" s="237">
        <v>228046</v>
      </c>
      <c r="E79" s="237">
        <v>11879</v>
      </c>
    </row>
    <row r="80" spans="1:5" ht="32.1" customHeight="1">
      <c r="A80" s="236" t="s">
        <v>704</v>
      </c>
      <c r="B80" s="237">
        <v>0</v>
      </c>
      <c r="C80" s="237">
        <v>202</v>
      </c>
      <c r="D80" s="237">
        <v>0</v>
      </c>
      <c r="E80" s="237">
        <v>9009</v>
      </c>
    </row>
    <row r="81" spans="1:5" ht="32.1" customHeight="1">
      <c r="A81" s="236" t="s">
        <v>705</v>
      </c>
      <c r="B81" s="237">
        <v>182592</v>
      </c>
      <c r="C81" s="237">
        <v>724</v>
      </c>
      <c r="D81" s="237">
        <v>36061</v>
      </c>
      <c r="E81" s="237">
        <v>3600</v>
      </c>
    </row>
    <row r="82" spans="1:5" ht="32.1" customHeight="1">
      <c r="A82" s="236" t="s">
        <v>706</v>
      </c>
      <c r="B82" s="237">
        <v>0</v>
      </c>
      <c r="C82" s="237">
        <v>25</v>
      </c>
      <c r="D82" s="237">
        <v>0</v>
      </c>
      <c r="E82" s="237">
        <v>575</v>
      </c>
    </row>
    <row r="83" spans="1:5" ht="32.1" customHeight="1">
      <c r="A83" s="236" t="s">
        <v>707</v>
      </c>
      <c r="B83" s="237">
        <v>1061417</v>
      </c>
      <c r="C83" s="237">
        <v>3427</v>
      </c>
      <c r="D83" s="237">
        <v>820394</v>
      </c>
      <c r="E83" s="237">
        <v>47961</v>
      </c>
    </row>
    <row r="84" spans="1:5" ht="32.1" customHeight="1">
      <c r="A84" s="236" t="s">
        <v>708</v>
      </c>
      <c r="B84" s="237">
        <v>91803</v>
      </c>
      <c r="C84" s="237">
        <v>545</v>
      </c>
      <c r="D84" s="237">
        <v>64469</v>
      </c>
      <c r="E84" s="237">
        <v>1333</v>
      </c>
    </row>
    <row r="85" spans="1:5" ht="32.1" customHeight="1">
      <c r="A85" s="236" t="s">
        <v>709</v>
      </c>
      <c r="B85" s="237">
        <v>1080716</v>
      </c>
      <c r="C85" s="237">
        <v>3251</v>
      </c>
      <c r="D85" s="237">
        <v>797448</v>
      </c>
      <c r="E85" s="237">
        <v>39043</v>
      </c>
    </row>
    <row r="86" spans="1:5" ht="32.1" customHeight="1">
      <c r="A86" s="236" t="s">
        <v>710</v>
      </c>
      <c r="B86" s="237">
        <v>99128</v>
      </c>
      <c r="C86" s="237">
        <v>374</v>
      </c>
      <c r="D86" s="237">
        <v>74045</v>
      </c>
      <c r="E86" s="237">
        <v>4496</v>
      </c>
    </row>
    <row r="87" spans="1:5" ht="32.1" customHeight="1">
      <c r="A87" s="236" t="s">
        <v>711</v>
      </c>
      <c r="B87" s="237">
        <v>0</v>
      </c>
      <c r="C87" s="237">
        <v>2</v>
      </c>
      <c r="D87" s="237">
        <v>0</v>
      </c>
      <c r="E87" s="237">
        <v>38</v>
      </c>
    </row>
    <row r="88" spans="1:5" ht="32.1" customHeight="1">
      <c r="A88" s="236" t="s">
        <v>712</v>
      </c>
      <c r="B88" s="237">
        <v>0</v>
      </c>
      <c r="C88" s="237">
        <v>2512</v>
      </c>
      <c r="D88" s="237">
        <v>0</v>
      </c>
      <c r="E88" s="237">
        <v>34608</v>
      </c>
    </row>
    <row r="89" spans="1:5" ht="32.1" customHeight="1">
      <c r="A89" s="236" t="s">
        <v>713</v>
      </c>
      <c r="B89" s="237">
        <v>0</v>
      </c>
      <c r="C89" s="237">
        <v>1130</v>
      </c>
      <c r="D89" s="237">
        <v>0</v>
      </c>
      <c r="E89" s="237">
        <v>29258</v>
      </c>
    </row>
    <row r="90" spans="1:5" ht="32.1" customHeight="1">
      <c r="A90" s="236" t="s">
        <v>714</v>
      </c>
      <c r="B90" s="237">
        <v>0</v>
      </c>
      <c r="C90" s="237">
        <v>7</v>
      </c>
      <c r="D90" s="237">
        <v>0</v>
      </c>
      <c r="E90" s="237">
        <v>336</v>
      </c>
    </row>
    <row r="91" spans="1:5" ht="32.1" customHeight="1">
      <c r="A91" s="236" t="s">
        <v>715</v>
      </c>
      <c r="B91" s="237">
        <v>206946</v>
      </c>
      <c r="C91" s="237">
        <v>802</v>
      </c>
      <c r="D91" s="237">
        <v>160396</v>
      </c>
      <c r="E91" s="237">
        <v>17210</v>
      </c>
    </row>
    <row r="92" spans="1:5" ht="32.1" customHeight="1">
      <c r="A92" s="236" t="s">
        <v>716</v>
      </c>
      <c r="B92" s="237">
        <v>99104</v>
      </c>
      <c r="C92" s="237">
        <v>360</v>
      </c>
      <c r="D92" s="237">
        <v>72611</v>
      </c>
      <c r="E92" s="237">
        <v>5740</v>
      </c>
    </row>
    <row r="93" spans="1:5" ht="32.1" customHeight="1">
      <c r="A93" s="236" t="s">
        <v>717</v>
      </c>
      <c r="B93" s="237">
        <v>4032</v>
      </c>
      <c r="C93" s="237">
        <v>24</v>
      </c>
      <c r="D93" s="237">
        <v>3342</v>
      </c>
      <c r="E93" s="237">
        <v>37</v>
      </c>
    </row>
    <row r="94" spans="1:5" ht="32.1" customHeight="1">
      <c r="A94" s="236" t="s">
        <v>718</v>
      </c>
      <c r="B94" s="237">
        <v>349263</v>
      </c>
      <c r="C94" s="237">
        <v>1866</v>
      </c>
      <c r="D94" s="237">
        <v>285242</v>
      </c>
      <c r="E94" s="237">
        <v>8169</v>
      </c>
    </row>
    <row r="95" spans="1:5" ht="32.1" customHeight="1">
      <c r="A95" s="236" t="s">
        <v>719</v>
      </c>
      <c r="B95" s="237">
        <v>1140</v>
      </c>
      <c r="C95" s="237">
        <v>7</v>
      </c>
      <c r="D95" s="237">
        <v>1038</v>
      </c>
      <c r="E95" s="237">
        <v>9</v>
      </c>
    </row>
    <row r="96" spans="1:5" ht="32.1" customHeight="1">
      <c r="A96" s="236" t="s">
        <v>720</v>
      </c>
      <c r="B96" s="237">
        <v>5084</v>
      </c>
      <c r="C96" s="237">
        <v>32</v>
      </c>
      <c r="D96" s="237">
        <v>4410</v>
      </c>
      <c r="E96" s="237">
        <v>45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FBD40-FBA2-44FF-AD77-DB7EF36FF4DF}">
  <dimension ref="A1:E102"/>
  <sheetViews>
    <sheetView workbookViewId="0">
      <selection sqref="A1:E1"/>
    </sheetView>
  </sheetViews>
  <sheetFormatPr defaultColWidth="9" defaultRowHeight="16.5"/>
  <cols>
    <col min="1" max="1" width="48.5" style="14" customWidth="1"/>
    <col min="2" max="3" width="28.375" style="14" customWidth="1"/>
    <col min="4" max="5" width="28.5" style="14" customWidth="1"/>
    <col min="6" max="16384" width="9" style="14"/>
  </cols>
  <sheetData>
    <row r="1" spans="1:5" ht="33.950000000000003" customHeight="1">
      <c r="A1" s="435" t="s">
        <v>721</v>
      </c>
      <c r="B1" s="436"/>
      <c r="C1" s="436"/>
      <c r="D1" s="436"/>
      <c r="E1" s="436"/>
    </row>
    <row r="2" spans="1:5" ht="36.950000000000003" customHeight="1">
      <c r="A2" s="235" t="s">
        <v>624</v>
      </c>
      <c r="B2" s="235" t="s">
        <v>625</v>
      </c>
      <c r="C2" s="235" t="s">
        <v>626</v>
      </c>
      <c r="D2" s="235" t="s">
        <v>340</v>
      </c>
      <c r="E2" s="235" t="s">
        <v>342</v>
      </c>
    </row>
    <row r="3" spans="1:5" ht="32.1" customHeight="1">
      <c r="A3" s="236" t="s">
        <v>627</v>
      </c>
      <c r="B3" s="237">
        <v>78671088</v>
      </c>
      <c r="C3" s="237">
        <v>403297</v>
      </c>
      <c r="D3" s="237">
        <v>60732944</v>
      </c>
      <c r="E3" s="237">
        <v>3588579</v>
      </c>
    </row>
    <row r="4" spans="1:5" ht="32.1" customHeight="1">
      <c r="A4" s="236" t="s">
        <v>628</v>
      </c>
      <c r="B4" s="237">
        <v>61312548</v>
      </c>
      <c r="C4" s="237">
        <v>307880</v>
      </c>
      <c r="D4" s="237">
        <v>47237514</v>
      </c>
      <c r="E4" s="237">
        <v>2666460</v>
      </c>
    </row>
    <row r="5" spans="1:5" ht="32.1" customHeight="1">
      <c r="A5" s="236" t="s">
        <v>629</v>
      </c>
      <c r="B5" s="237">
        <v>32076128</v>
      </c>
      <c r="C5" s="237">
        <v>147892</v>
      </c>
      <c r="D5" s="237">
        <v>24291617</v>
      </c>
      <c r="E5" s="237">
        <v>1806855</v>
      </c>
    </row>
    <row r="6" spans="1:5" ht="32.1" customHeight="1">
      <c r="A6" s="236" t="s">
        <v>630</v>
      </c>
      <c r="B6" s="237">
        <v>19387617</v>
      </c>
      <c r="C6" s="237">
        <v>99519</v>
      </c>
      <c r="D6" s="237">
        <v>14909526</v>
      </c>
      <c r="E6" s="237">
        <v>810017</v>
      </c>
    </row>
    <row r="7" spans="1:5" ht="32.1" customHeight="1">
      <c r="A7" s="236" t="s">
        <v>631</v>
      </c>
      <c r="B7" s="237">
        <v>2613093</v>
      </c>
      <c r="C7" s="237">
        <v>14917</v>
      </c>
      <c r="D7" s="237">
        <v>2228648</v>
      </c>
      <c r="E7" s="237">
        <v>14760</v>
      </c>
    </row>
    <row r="8" spans="1:5" ht="32.1" customHeight="1">
      <c r="A8" s="236" t="s">
        <v>632</v>
      </c>
      <c r="B8" s="237">
        <v>1905417</v>
      </c>
      <c r="C8" s="237">
        <v>10176</v>
      </c>
      <c r="D8" s="237">
        <v>1613754</v>
      </c>
      <c r="E8" s="237">
        <v>8747</v>
      </c>
    </row>
    <row r="9" spans="1:5" ht="32.1" customHeight="1">
      <c r="A9" s="236" t="s">
        <v>633</v>
      </c>
      <c r="B9" s="237">
        <v>2902243</v>
      </c>
      <c r="C9" s="237">
        <v>19173</v>
      </c>
      <c r="D9" s="237">
        <v>2134503</v>
      </c>
      <c r="E9" s="237">
        <v>15632</v>
      </c>
    </row>
    <row r="10" spans="1:5" ht="32.1" customHeight="1">
      <c r="A10" s="236" t="s">
        <v>634</v>
      </c>
      <c r="B10" s="237">
        <v>2117901</v>
      </c>
      <c r="C10" s="237">
        <v>14560</v>
      </c>
      <c r="D10" s="237">
        <v>1905028</v>
      </c>
      <c r="E10" s="237">
        <v>9741</v>
      </c>
    </row>
    <row r="11" spans="1:5" ht="32.1" customHeight="1">
      <c r="A11" s="236" t="s">
        <v>722</v>
      </c>
      <c r="B11" s="237">
        <v>310149</v>
      </c>
      <c r="C11" s="237">
        <v>1643</v>
      </c>
      <c r="D11" s="237">
        <v>154438</v>
      </c>
      <c r="E11" s="237">
        <v>709</v>
      </c>
    </row>
    <row r="12" spans="1:5" ht="32.1" customHeight="1">
      <c r="A12" s="236" t="s">
        <v>635</v>
      </c>
      <c r="B12" s="237">
        <v>17358540</v>
      </c>
      <c r="C12" s="237">
        <v>95417</v>
      </c>
      <c r="D12" s="237">
        <v>13495430</v>
      </c>
      <c r="E12" s="237">
        <v>922120</v>
      </c>
    </row>
    <row r="13" spans="1:5" ht="32.1" customHeight="1">
      <c r="A13" s="236" t="s">
        <v>723</v>
      </c>
      <c r="B13" s="237">
        <v>0</v>
      </c>
      <c r="C13" s="237">
        <v>5</v>
      </c>
      <c r="D13" s="237">
        <v>0</v>
      </c>
      <c r="E13" s="237">
        <v>184</v>
      </c>
    </row>
    <row r="14" spans="1:5" ht="32.1" customHeight="1">
      <c r="A14" s="236" t="s">
        <v>636</v>
      </c>
      <c r="B14" s="237">
        <v>0</v>
      </c>
      <c r="C14" s="237">
        <v>589</v>
      </c>
      <c r="D14" s="237">
        <v>0</v>
      </c>
      <c r="E14" s="237">
        <v>19053</v>
      </c>
    </row>
    <row r="15" spans="1:5" ht="32.1" customHeight="1">
      <c r="A15" s="236" t="s">
        <v>637</v>
      </c>
      <c r="B15" s="237">
        <v>0</v>
      </c>
      <c r="C15" s="237">
        <v>3</v>
      </c>
      <c r="D15" s="237">
        <v>0</v>
      </c>
      <c r="E15" s="237">
        <v>95</v>
      </c>
    </row>
    <row r="16" spans="1:5" ht="32.1" customHeight="1">
      <c r="A16" s="236" t="s">
        <v>638</v>
      </c>
      <c r="B16" s="237">
        <v>211835</v>
      </c>
      <c r="C16" s="237">
        <v>787</v>
      </c>
      <c r="D16" s="237">
        <v>140092</v>
      </c>
      <c r="E16" s="237">
        <v>7875</v>
      </c>
    </row>
    <row r="17" spans="1:5" ht="32.1" customHeight="1">
      <c r="A17" s="236" t="s">
        <v>640</v>
      </c>
      <c r="B17" s="237">
        <v>0</v>
      </c>
      <c r="C17" s="237">
        <v>268</v>
      </c>
      <c r="D17" s="237">
        <v>0</v>
      </c>
      <c r="E17" s="237">
        <v>6090</v>
      </c>
    </row>
    <row r="18" spans="1:5" ht="32.1" customHeight="1">
      <c r="A18" s="236" t="s">
        <v>641</v>
      </c>
      <c r="B18" s="237">
        <v>163824</v>
      </c>
      <c r="C18" s="237">
        <v>584</v>
      </c>
      <c r="D18" s="237">
        <v>137251</v>
      </c>
      <c r="E18" s="237">
        <v>23278</v>
      </c>
    </row>
    <row r="19" spans="1:5" ht="32.1" customHeight="1">
      <c r="A19" s="236" t="s">
        <v>642</v>
      </c>
      <c r="B19" s="237">
        <v>17732</v>
      </c>
      <c r="C19" s="237">
        <v>104</v>
      </c>
      <c r="D19" s="237">
        <v>14566</v>
      </c>
      <c r="E19" s="237">
        <v>450</v>
      </c>
    </row>
    <row r="20" spans="1:5" ht="32.1" customHeight="1">
      <c r="A20" s="236" t="s">
        <v>643</v>
      </c>
      <c r="B20" s="237">
        <v>330517</v>
      </c>
      <c r="C20" s="237">
        <v>1572</v>
      </c>
      <c r="D20" s="237">
        <v>291139</v>
      </c>
      <c r="E20" s="237">
        <v>10970</v>
      </c>
    </row>
    <row r="21" spans="1:5" ht="32.1" customHeight="1">
      <c r="A21" s="236" t="s">
        <v>644</v>
      </c>
      <c r="B21" s="237">
        <v>0</v>
      </c>
      <c r="C21" s="237">
        <v>1</v>
      </c>
      <c r="D21" s="237">
        <v>0</v>
      </c>
      <c r="E21" s="237">
        <v>99</v>
      </c>
    </row>
    <row r="22" spans="1:5" ht="32.1" customHeight="1">
      <c r="A22" s="236" t="s">
        <v>645</v>
      </c>
      <c r="B22" s="237">
        <v>78998</v>
      </c>
      <c r="C22" s="237">
        <v>356</v>
      </c>
      <c r="D22" s="237">
        <v>67025</v>
      </c>
      <c r="E22" s="237">
        <v>2675</v>
      </c>
    </row>
    <row r="23" spans="1:5" ht="32.1" customHeight="1">
      <c r="A23" s="236" t="s">
        <v>646</v>
      </c>
      <c r="B23" s="237">
        <v>465567</v>
      </c>
      <c r="C23" s="237">
        <v>2168</v>
      </c>
      <c r="D23" s="237">
        <v>250843</v>
      </c>
      <c r="E23" s="237">
        <v>16615</v>
      </c>
    </row>
    <row r="24" spans="1:5" ht="32.1" customHeight="1">
      <c r="A24" s="236" t="s">
        <v>647</v>
      </c>
      <c r="B24" s="237">
        <v>0</v>
      </c>
      <c r="C24" s="237">
        <v>133</v>
      </c>
      <c r="D24" s="237">
        <v>0</v>
      </c>
      <c r="E24" s="237">
        <v>3573</v>
      </c>
    </row>
    <row r="25" spans="1:5" ht="32.1" customHeight="1">
      <c r="A25" s="236" t="s">
        <v>648</v>
      </c>
      <c r="B25" s="237">
        <v>56960</v>
      </c>
      <c r="C25" s="237">
        <v>555</v>
      </c>
      <c r="D25" s="237">
        <v>48157</v>
      </c>
      <c r="E25" s="237">
        <v>774</v>
      </c>
    </row>
    <row r="26" spans="1:5" ht="32.1" customHeight="1">
      <c r="A26" s="236" t="s">
        <v>649</v>
      </c>
      <c r="B26" s="237">
        <v>204344</v>
      </c>
      <c r="C26" s="237">
        <v>714</v>
      </c>
      <c r="D26" s="237">
        <v>170118</v>
      </c>
      <c r="E26" s="237">
        <v>10629</v>
      </c>
    </row>
    <row r="27" spans="1:5" ht="32.1" customHeight="1">
      <c r="A27" s="236" t="s">
        <v>650</v>
      </c>
      <c r="B27" s="237">
        <v>139814</v>
      </c>
      <c r="C27" s="237">
        <v>826</v>
      </c>
      <c r="D27" s="237">
        <v>99198</v>
      </c>
      <c r="E27" s="237">
        <v>2365</v>
      </c>
    </row>
    <row r="28" spans="1:5" ht="32.1" customHeight="1">
      <c r="A28" s="236" t="s">
        <v>651</v>
      </c>
      <c r="B28" s="237">
        <v>0</v>
      </c>
      <c r="C28" s="237">
        <v>855</v>
      </c>
      <c r="D28" s="237">
        <v>0</v>
      </c>
      <c r="E28" s="237">
        <v>56196</v>
      </c>
    </row>
    <row r="29" spans="1:5" ht="32.1" customHeight="1">
      <c r="A29" s="236" t="s">
        <v>652</v>
      </c>
      <c r="B29" s="237">
        <v>671378</v>
      </c>
      <c r="C29" s="237">
        <v>2767</v>
      </c>
      <c r="D29" s="237">
        <v>592498</v>
      </c>
      <c r="E29" s="237">
        <v>18872</v>
      </c>
    </row>
    <row r="30" spans="1:5" ht="32.1" customHeight="1">
      <c r="A30" s="236" t="s">
        <v>653</v>
      </c>
      <c r="B30" s="237">
        <v>0</v>
      </c>
      <c r="C30" s="237">
        <v>10</v>
      </c>
      <c r="D30" s="237">
        <v>0</v>
      </c>
      <c r="E30" s="237">
        <v>237</v>
      </c>
    </row>
    <row r="31" spans="1:5" ht="32.1" customHeight="1">
      <c r="A31" s="236" t="s">
        <v>654</v>
      </c>
      <c r="B31" s="237">
        <v>150834</v>
      </c>
      <c r="C31" s="237">
        <v>850</v>
      </c>
      <c r="D31" s="237">
        <v>116940</v>
      </c>
      <c r="E31" s="237">
        <v>1589</v>
      </c>
    </row>
    <row r="32" spans="1:5" ht="32.1" customHeight="1">
      <c r="A32" s="236" t="s">
        <v>655</v>
      </c>
      <c r="B32" s="237">
        <v>102046</v>
      </c>
      <c r="C32" s="237">
        <v>689</v>
      </c>
      <c r="D32" s="237">
        <v>63169</v>
      </c>
      <c r="E32" s="237">
        <v>1733</v>
      </c>
    </row>
    <row r="33" spans="1:5" ht="32.1" customHeight="1">
      <c r="A33" s="236" t="s">
        <v>656</v>
      </c>
      <c r="B33" s="237">
        <v>229845</v>
      </c>
      <c r="C33" s="237">
        <v>992</v>
      </c>
      <c r="D33" s="237">
        <v>203127</v>
      </c>
      <c r="E33" s="237">
        <v>4000</v>
      </c>
    </row>
    <row r="34" spans="1:5" ht="32.1" customHeight="1">
      <c r="A34" s="236" t="s">
        <v>724</v>
      </c>
      <c r="B34" s="237">
        <v>8812</v>
      </c>
      <c r="C34" s="237">
        <v>54</v>
      </c>
      <c r="D34" s="237">
        <v>3719</v>
      </c>
      <c r="E34" s="237">
        <v>42</v>
      </c>
    </row>
    <row r="35" spans="1:5" ht="32.1" customHeight="1">
      <c r="A35" s="236" t="s">
        <v>658</v>
      </c>
      <c r="B35" s="237">
        <v>227808</v>
      </c>
      <c r="C35" s="237">
        <v>1488</v>
      </c>
      <c r="D35" s="237">
        <v>129711</v>
      </c>
      <c r="E35" s="237">
        <v>2773</v>
      </c>
    </row>
    <row r="36" spans="1:5" ht="32.1" customHeight="1">
      <c r="A36" s="236" t="s">
        <v>659</v>
      </c>
      <c r="B36" s="237">
        <v>345859</v>
      </c>
      <c r="C36" s="237">
        <v>2042</v>
      </c>
      <c r="D36" s="237">
        <v>221851</v>
      </c>
      <c r="E36" s="237">
        <v>3615</v>
      </c>
    </row>
    <row r="37" spans="1:5" ht="32.1" customHeight="1">
      <c r="A37" s="236" t="s">
        <v>660</v>
      </c>
      <c r="B37" s="237">
        <v>309540</v>
      </c>
      <c r="C37" s="237">
        <v>1775</v>
      </c>
      <c r="D37" s="237">
        <v>256333</v>
      </c>
      <c r="E37" s="237">
        <v>4167</v>
      </c>
    </row>
    <row r="38" spans="1:5" ht="32.1" customHeight="1">
      <c r="A38" s="236" t="s">
        <v>662</v>
      </c>
      <c r="B38" s="237">
        <v>6336</v>
      </c>
      <c r="C38" s="237">
        <v>44</v>
      </c>
      <c r="D38" s="237">
        <v>5765</v>
      </c>
      <c r="E38" s="237">
        <v>59</v>
      </c>
    </row>
    <row r="39" spans="1:5" ht="32.1" customHeight="1">
      <c r="A39" s="236" t="s">
        <v>725</v>
      </c>
      <c r="B39" s="237">
        <v>0</v>
      </c>
      <c r="C39" s="237">
        <v>1</v>
      </c>
      <c r="D39" s="237">
        <v>0</v>
      </c>
      <c r="E39" s="237">
        <v>50</v>
      </c>
    </row>
    <row r="40" spans="1:5" ht="32.1" customHeight="1">
      <c r="A40" s="236" t="s">
        <v>664</v>
      </c>
      <c r="B40" s="237">
        <v>0</v>
      </c>
      <c r="C40" s="237">
        <v>2</v>
      </c>
      <c r="D40" s="237">
        <v>0</v>
      </c>
      <c r="E40" s="237">
        <v>32</v>
      </c>
    </row>
    <row r="41" spans="1:5" ht="32.1" customHeight="1">
      <c r="A41" s="236" t="s">
        <v>665</v>
      </c>
      <c r="B41" s="237">
        <v>710616</v>
      </c>
      <c r="C41" s="237">
        <v>2488</v>
      </c>
      <c r="D41" s="237">
        <v>441121</v>
      </c>
      <c r="E41" s="237">
        <v>23815</v>
      </c>
    </row>
    <row r="42" spans="1:5" ht="32.1" customHeight="1">
      <c r="A42" s="236" t="s">
        <v>666</v>
      </c>
      <c r="B42" s="237">
        <v>0</v>
      </c>
      <c r="C42" s="237">
        <v>4</v>
      </c>
      <c r="D42" s="237">
        <v>0</v>
      </c>
      <c r="E42" s="237">
        <v>39</v>
      </c>
    </row>
    <row r="43" spans="1:5" ht="32.1" customHeight="1">
      <c r="A43" s="236" t="s">
        <v>667</v>
      </c>
      <c r="B43" s="237">
        <v>0</v>
      </c>
      <c r="C43" s="237">
        <v>190</v>
      </c>
      <c r="D43" s="237">
        <v>0</v>
      </c>
      <c r="E43" s="237">
        <v>5864</v>
      </c>
    </row>
    <row r="44" spans="1:5" ht="32.1" customHeight="1">
      <c r="A44" s="236" t="s">
        <v>668</v>
      </c>
      <c r="B44" s="237">
        <v>0</v>
      </c>
      <c r="C44" s="237">
        <v>553</v>
      </c>
      <c r="D44" s="237">
        <v>0</v>
      </c>
      <c r="E44" s="237">
        <v>14403</v>
      </c>
    </row>
    <row r="45" spans="1:5" ht="32.1" customHeight="1">
      <c r="A45" s="236" t="s">
        <v>669</v>
      </c>
      <c r="B45" s="237">
        <v>0</v>
      </c>
      <c r="C45" s="237">
        <v>3</v>
      </c>
      <c r="D45" s="237">
        <v>0</v>
      </c>
      <c r="E45" s="237">
        <v>231</v>
      </c>
    </row>
    <row r="46" spans="1:5" ht="32.1" customHeight="1">
      <c r="A46" s="236" t="s">
        <v>670</v>
      </c>
      <c r="B46" s="237">
        <v>0</v>
      </c>
      <c r="C46" s="237">
        <v>7</v>
      </c>
      <c r="D46" s="237">
        <v>0</v>
      </c>
      <c r="E46" s="237">
        <v>241</v>
      </c>
    </row>
    <row r="47" spans="1:5" ht="32.1" customHeight="1">
      <c r="A47" s="236" t="s">
        <v>671</v>
      </c>
      <c r="B47" s="237">
        <v>1264</v>
      </c>
      <c r="C47" s="237">
        <v>8</v>
      </c>
      <c r="D47" s="237">
        <v>467</v>
      </c>
      <c r="E47" s="237">
        <v>5</v>
      </c>
    </row>
    <row r="48" spans="1:5" ht="32.1" customHeight="1">
      <c r="A48" s="236" t="s">
        <v>672</v>
      </c>
      <c r="B48" s="237">
        <v>0</v>
      </c>
      <c r="C48" s="237">
        <v>312</v>
      </c>
      <c r="D48" s="237">
        <v>0</v>
      </c>
      <c r="E48" s="237">
        <v>2332</v>
      </c>
    </row>
    <row r="49" spans="1:5" ht="32.1" customHeight="1">
      <c r="A49" s="236" t="s">
        <v>673</v>
      </c>
      <c r="B49" s="237">
        <v>370588</v>
      </c>
      <c r="C49" s="237">
        <v>730</v>
      </c>
      <c r="D49" s="237">
        <v>300560</v>
      </c>
      <c r="E49" s="237">
        <v>12915</v>
      </c>
    </row>
    <row r="50" spans="1:5" ht="32.1" customHeight="1">
      <c r="A50" s="236" t="s">
        <v>674</v>
      </c>
      <c r="B50" s="237">
        <v>188868</v>
      </c>
      <c r="C50" s="237">
        <v>754</v>
      </c>
      <c r="D50" s="237">
        <v>164112</v>
      </c>
      <c r="E50" s="237">
        <v>11223</v>
      </c>
    </row>
    <row r="51" spans="1:5" ht="32.1" customHeight="1">
      <c r="A51" s="236" t="s">
        <v>675</v>
      </c>
      <c r="B51" s="237">
        <v>0</v>
      </c>
      <c r="C51" s="237">
        <v>10</v>
      </c>
      <c r="D51" s="237">
        <v>0</v>
      </c>
      <c r="E51" s="237">
        <v>564</v>
      </c>
    </row>
    <row r="52" spans="1:5" ht="32.1" customHeight="1">
      <c r="A52" s="236" t="s">
        <v>726</v>
      </c>
      <c r="B52" s="237">
        <v>0</v>
      </c>
      <c r="C52" s="237">
        <v>336</v>
      </c>
      <c r="D52" s="237">
        <v>0</v>
      </c>
      <c r="E52" s="237">
        <v>8655</v>
      </c>
    </row>
    <row r="53" spans="1:5" ht="32.1" customHeight="1">
      <c r="A53" s="236" t="s">
        <v>676</v>
      </c>
      <c r="B53" s="237">
        <v>121048</v>
      </c>
      <c r="C53" s="237">
        <v>827</v>
      </c>
      <c r="D53" s="237">
        <v>86796</v>
      </c>
      <c r="E53" s="237">
        <v>1601</v>
      </c>
    </row>
    <row r="54" spans="1:5" ht="32.1" customHeight="1">
      <c r="A54" s="236" t="s">
        <v>677</v>
      </c>
      <c r="B54" s="237">
        <v>0</v>
      </c>
      <c r="C54" s="237">
        <v>107</v>
      </c>
      <c r="D54" s="237">
        <v>0</v>
      </c>
      <c r="E54" s="237">
        <v>3245</v>
      </c>
    </row>
    <row r="55" spans="1:5" ht="32.1" customHeight="1">
      <c r="A55" s="236" t="s">
        <v>678</v>
      </c>
      <c r="B55" s="237">
        <v>0</v>
      </c>
      <c r="C55" s="237">
        <v>6</v>
      </c>
      <c r="D55" s="237">
        <v>0</v>
      </c>
      <c r="E55" s="237">
        <v>61</v>
      </c>
    </row>
    <row r="56" spans="1:5" ht="32.1" customHeight="1">
      <c r="A56" s="236" t="s">
        <v>679</v>
      </c>
      <c r="B56" s="237">
        <v>37200</v>
      </c>
      <c r="C56" s="237">
        <v>192</v>
      </c>
      <c r="D56" s="237">
        <v>18535</v>
      </c>
      <c r="E56" s="237">
        <v>853</v>
      </c>
    </row>
    <row r="57" spans="1:5" ht="32.1" customHeight="1">
      <c r="A57" s="236" t="s">
        <v>727</v>
      </c>
      <c r="B57" s="237">
        <v>46348</v>
      </c>
      <c r="C57" s="237">
        <v>122</v>
      </c>
      <c r="D57" s="237">
        <v>37346</v>
      </c>
      <c r="E57" s="237">
        <v>1292</v>
      </c>
    </row>
    <row r="58" spans="1:5" ht="32.1" customHeight="1">
      <c r="A58" s="236" t="s">
        <v>728</v>
      </c>
      <c r="B58" s="237">
        <v>0</v>
      </c>
      <c r="C58" s="237">
        <v>619</v>
      </c>
      <c r="D58" s="237">
        <v>0</v>
      </c>
      <c r="E58" s="237">
        <v>19672</v>
      </c>
    </row>
    <row r="59" spans="1:5" ht="32.1" customHeight="1">
      <c r="A59" s="236" t="s">
        <v>680</v>
      </c>
      <c r="B59" s="237">
        <v>55826</v>
      </c>
      <c r="C59" s="237">
        <v>206</v>
      </c>
      <c r="D59" s="237">
        <v>34506</v>
      </c>
      <c r="E59" s="237">
        <v>1151</v>
      </c>
    </row>
    <row r="60" spans="1:5" ht="32.1" customHeight="1">
      <c r="A60" s="236" t="s">
        <v>681</v>
      </c>
      <c r="B60" s="237">
        <v>147620</v>
      </c>
      <c r="C60" s="237">
        <v>696</v>
      </c>
      <c r="D60" s="237">
        <v>134403</v>
      </c>
      <c r="E60" s="237">
        <v>7573</v>
      </c>
    </row>
    <row r="61" spans="1:5" ht="32.1" customHeight="1">
      <c r="A61" s="236" t="s">
        <v>682</v>
      </c>
      <c r="B61" s="237">
        <v>0</v>
      </c>
      <c r="C61" s="237">
        <v>618</v>
      </c>
      <c r="D61" s="237">
        <v>0</v>
      </c>
      <c r="E61" s="237">
        <v>22394</v>
      </c>
    </row>
    <row r="62" spans="1:5" ht="32.1" customHeight="1">
      <c r="A62" s="236" t="s">
        <v>729</v>
      </c>
      <c r="B62" s="237">
        <v>7854</v>
      </c>
      <c r="C62" s="237">
        <v>38</v>
      </c>
      <c r="D62" s="237">
        <v>2193</v>
      </c>
      <c r="E62" s="237">
        <v>130</v>
      </c>
    </row>
    <row r="63" spans="1:5" ht="32.1" customHeight="1">
      <c r="A63" s="236" t="s">
        <v>683</v>
      </c>
      <c r="B63" s="237">
        <v>0</v>
      </c>
      <c r="C63" s="237">
        <v>5</v>
      </c>
      <c r="D63" s="237">
        <v>0</v>
      </c>
      <c r="E63" s="237">
        <v>63</v>
      </c>
    </row>
    <row r="64" spans="1:5" ht="32.1" customHeight="1">
      <c r="A64" s="236" t="s">
        <v>684</v>
      </c>
      <c r="B64" s="237">
        <v>46083</v>
      </c>
      <c r="C64" s="237">
        <v>676</v>
      </c>
      <c r="D64" s="237">
        <v>30941</v>
      </c>
      <c r="E64" s="237">
        <v>2181</v>
      </c>
    </row>
    <row r="65" spans="1:5" ht="32.1" customHeight="1">
      <c r="A65" s="236" t="s">
        <v>730</v>
      </c>
      <c r="B65" s="237">
        <v>2072</v>
      </c>
      <c r="C65" s="237">
        <v>4</v>
      </c>
      <c r="D65" s="237">
        <v>1176</v>
      </c>
      <c r="E65" s="237">
        <v>16</v>
      </c>
    </row>
    <row r="66" spans="1:5" ht="32.1" customHeight="1">
      <c r="A66" s="236" t="s">
        <v>685</v>
      </c>
      <c r="B66" s="237">
        <v>49192</v>
      </c>
      <c r="C66" s="237">
        <v>226</v>
      </c>
      <c r="D66" s="237">
        <v>36440</v>
      </c>
      <c r="E66" s="237">
        <v>1328</v>
      </c>
    </row>
    <row r="67" spans="1:5" ht="32.1" customHeight="1">
      <c r="A67" s="236" t="s">
        <v>686</v>
      </c>
      <c r="B67" s="237">
        <v>0</v>
      </c>
      <c r="C67" s="237">
        <v>311</v>
      </c>
      <c r="D67" s="237">
        <v>0</v>
      </c>
      <c r="E67" s="237">
        <v>19289</v>
      </c>
    </row>
    <row r="68" spans="1:5" ht="32.1" customHeight="1">
      <c r="A68" s="236" t="s">
        <v>687</v>
      </c>
      <c r="B68" s="237">
        <v>423179</v>
      </c>
      <c r="C68" s="237">
        <v>1359</v>
      </c>
      <c r="D68" s="237">
        <v>370688</v>
      </c>
      <c r="E68" s="237">
        <v>17249</v>
      </c>
    </row>
    <row r="69" spans="1:5" ht="32.1" customHeight="1">
      <c r="A69" s="236" t="s">
        <v>688</v>
      </c>
      <c r="B69" s="237">
        <v>3460</v>
      </c>
      <c r="C69" s="237">
        <v>24</v>
      </c>
      <c r="D69" s="237">
        <v>2936</v>
      </c>
      <c r="E69" s="237">
        <v>58</v>
      </c>
    </row>
    <row r="70" spans="1:5" ht="32.1" customHeight="1">
      <c r="A70" s="236" t="s">
        <v>689</v>
      </c>
      <c r="B70" s="237">
        <v>0</v>
      </c>
      <c r="C70" s="237">
        <v>2959</v>
      </c>
      <c r="D70" s="237">
        <v>0</v>
      </c>
      <c r="E70" s="237">
        <v>43965</v>
      </c>
    </row>
    <row r="71" spans="1:5" ht="32.1" customHeight="1">
      <c r="A71" s="236" t="s">
        <v>690</v>
      </c>
      <c r="B71" s="237">
        <v>2440</v>
      </c>
      <c r="C71" s="237">
        <v>35</v>
      </c>
      <c r="D71" s="237">
        <v>465</v>
      </c>
      <c r="E71" s="237">
        <v>809</v>
      </c>
    </row>
    <row r="72" spans="1:5" ht="32.1" customHeight="1">
      <c r="A72" s="236" t="s">
        <v>731</v>
      </c>
      <c r="B72" s="237">
        <v>48826</v>
      </c>
      <c r="C72" s="237">
        <v>176</v>
      </c>
      <c r="D72" s="237">
        <v>24707</v>
      </c>
      <c r="E72" s="237">
        <v>632</v>
      </c>
    </row>
    <row r="73" spans="1:5" ht="32.1" customHeight="1">
      <c r="A73" s="236" t="s">
        <v>692</v>
      </c>
      <c r="B73" s="237">
        <v>1608435</v>
      </c>
      <c r="C73" s="237">
        <v>6624</v>
      </c>
      <c r="D73" s="237">
        <v>1406375</v>
      </c>
      <c r="E73" s="237">
        <v>36147</v>
      </c>
    </row>
    <row r="74" spans="1:5" ht="32.1" customHeight="1">
      <c r="A74" s="236" t="s">
        <v>693</v>
      </c>
      <c r="B74" s="237">
        <v>0</v>
      </c>
      <c r="C74" s="237">
        <v>474</v>
      </c>
      <c r="D74" s="237">
        <v>0</v>
      </c>
      <c r="E74" s="237">
        <v>17773</v>
      </c>
    </row>
    <row r="75" spans="1:5" ht="32.1" customHeight="1">
      <c r="A75" s="236" t="s">
        <v>694</v>
      </c>
      <c r="B75" s="237">
        <v>881760</v>
      </c>
      <c r="C75" s="237">
        <v>4070</v>
      </c>
      <c r="D75" s="237">
        <v>770790</v>
      </c>
      <c r="E75" s="237">
        <v>12693</v>
      </c>
    </row>
    <row r="76" spans="1:5" ht="32.1" customHeight="1">
      <c r="A76" s="236" t="s">
        <v>695</v>
      </c>
      <c r="B76" s="237">
        <v>0</v>
      </c>
      <c r="C76" s="237">
        <v>645</v>
      </c>
      <c r="D76" s="237">
        <v>0</v>
      </c>
      <c r="E76" s="237">
        <v>38320</v>
      </c>
    </row>
    <row r="77" spans="1:5" ht="32.1" customHeight="1">
      <c r="A77" s="236" t="s">
        <v>696</v>
      </c>
      <c r="B77" s="237">
        <v>1151541</v>
      </c>
      <c r="C77" s="237">
        <v>6762</v>
      </c>
      <c r="D77" s="237">
        <v>916460</v>
      </c>
      <c r="E77" s="237">
        <v>23540</v>
      </c>
    </row>
    <row r="78" spans="1:5" ht="32.1" customHeight="1">
      <c r="A78" s="236" t="s">
        <v>697</v>
      </c>
      <c r="B78" s="237">
        <v>1778314</v>
      </c>
      <c r="C78" s="237">
        <v>10575</v>
      </c>
      <c r="D78" s="237">
        <v>1341103</v>
      </c>
      <c r="E78" s="237">
        <v>30959</v>
      </c>
    </row>
    <row r="79" spans="1:5" ht="32.1" customHeight="1">
      <c r="A79" s="236" t="s">
        <v>698</v>
      </c>
      <c r="B79" s="237">
        <v>1844899</v>
      </c>
      <c r="C79" s="237">
        <v>10468</v>
      </c>
      <c r="D79" s="237">
        <v>1298716</v>
      </c>
      <c r="E79" s="237">
        <v>29779</v>
      </c>
    </row>
    <row r="80" spans="1:5" ht="32.1" customHeight="1">
      <c r="A80" s="236" t="s">
        <v>699</v>
      </c>
      <c r="B80" s="237">
        <v>90043</v>
      </c>
      <c r="C80" s="237">
        <v>540</v>
      </c>
      <c r="D80" s="237">
        <v>68256</v>
      </c>
      <c r="E80" s="237">
        <v>1328</v>
      </c>
    </row>
    <row r="81" spans="1:5" ht="32.1" customHeight="1">
      <c r="A81" s="236" t="s">
        <v>700</v>
      </c>
      <c r="B81" s="237">
        <v>0</v>
      </c>
      <c r="C81" s="237">
        <v>472</v>
      </c>
      <c r="D81" s="237">
        <v>0</v>
      </c>
      <c r="E81" s="237">
        <v>4017</v>
      </c>
    </row>
    <row r="82" spans="1:5" ht="32.1" customHeight="1">
      <c r="A82" s="236" t="s">
        <v>701</v>
      </c>
      <c r="B82" s="237">
        <v>62398</v>
      </c>
      <c r="C82" s="237">
        <v>409</v>
      </c>
      <c r="D82" s="237">
        <v>44366</v>
      </c>
      <c r="E82" s="237">
        <v>1167</v>
      </c>
    </row>
    <row r="83" spans="1:5" ht="32.1" customHeight="1">
      <c r="A83" s="236" t="s">
        <v>702</v>
      </c>
      <c r="B83" s="237">
        <v>0</v>
      </c>
      <c r="C83" s="237">
        <v>706</v>
      </c>
      <c r="D83" s="237">
        <v>0</v>
      </c>
      <c r="E83" s="237">
        <v>36687</v>
      </c>
    </row>
    <row r="84" spans="1:5" ht="32.1" customHeight="1">
      <c r="A84" s="236" t="s">
        <v>703</v>
      </c>
      <c r="B84" s="237">
        <v>263660</v>
      </c>
      <c r="C84" s="237">
        <v>917</v>
      </c>
      <c r="D84" s="237">
        <v>225840</v>
      </c>
      <c r="E84" s="237">
        <v>11954</v>
      </c>
    </row>
    <row r="85" spans="1:5" ht="32.1" customHeight="1">
      <c r="A85" s="236" t="s">
        <v>704</v>
      </c>
      <c r="B85" s="237">
        <v>0</v>
      </c>
      <c r="C85" s="237">
        <v>268</v>
      </c>
      <c r="D85" s="237">
        <v>0</v>
      </c>
      <c r="E85" s="237">
        <v>12039</v>
      </c>
    </row>
    <row r="86" spans="1:5" ht="32.1" customHeight="1">
      <c r="A86" s="236" t="s">
        <v>705</v>
      </c>
      <c r="B86" s="237">
        <v>188528</v>
      </c>
      <c r="C86" s="237">
        <v>729</v>
      </c>
      <c r="D86" s="237">
        <v>120341</v>
      </c>
      <c r="E86" s="237">
        <v>7960</v>
      </c>
    </row>
    <row r="87" spans="1:5" ht="32.1" customHeight="1">
      <c r="A87" s="236" t="s">
        <v>706</v>
      </c>
      <c r="B87" s="237">
        <v>0</v>
      </c>
      <c r="C87" s="237">
        <v>38</v>
      </c>
      <c r="D87" s="237">
        <v>0</v>
      </c>
      <c r="E87" s="237">
        <v>2140</v>
      </c>
    </row>
    <row r="88" spans="1:5" ht="32.1" customHeight="1">
      <c r="A88" s="236" t="s">
        <v>707</v>
      </c>
      <c r="B88" s="237">
        <v>1116808</v>
      </c>
      <c r="C88" s="237">
        <v>3787</v>
      </c>
      <c r="D88" s="237">
        <v>930137</v>
      </c>
      <c r="E88" s="237">
        <v>51663</v>
      </c>
    </row>
    <row r="89" spans="1:5" ht="32.1" customHeight="1">
      <c r="A89" s="236" t="s">
        <v>708</v>
      </c>
      <c r="B89" s="237">
        <v>100134</v>
      </c>
      <c r="C89" s="237">
        <v>608</v>
      </c>
      <c r="D89" s="237">
        <v>81051</v>
      </c>
      <c r="E89" s="237">
        <v>1471</v>
      </c>
    </row>
    <row r="90" spans="1:5" ht="32.1" customHeight="1">
      <c r="A90" s="236" t="s">
        <v>732</v>
      </c>
      <c r="B90" s="237">
        <v>91</v>
      </c>
      <c r="C90" s="237">
        <v>5</v>
      </c>
      <c r="D90" s="237">
        <v>63</v>
      </c>
      <c r="E90" s="237">
        <v>1</v>
      </c>
    </row>
    <row r="91" spans="1:5" ht="32.1" customHeight="1">
      <c r="A91" s="236" t="s">
        <v>709</v>
      </c>
      <c r="B91" s="237">
        <v>1143324</v>
      </c>
      <c r="C91" s="237">
        <v>3257</v>
      </c>
      <c r="D91" s="237">
        <v>853600</v>
      </c>
      <c r="E91" s="237">
        <v>43549</v>
      </c>
    </row>
    <row r="92" spans="1:5" ht="32.1" customHeight="1">
      <c r="A92" s="236" t="s">
        <v>710</v>
      </c>
      <c r="B92" s="237">
        <v>124152</v>
      </c>
      <c r="C92" s="237">
        <v>470</v>
      </c>
      <c r="D92" s="237">
        <v>108066</v>
      </c>
      <c r="E92" s="237">
        <v>5627</v>
      </c>
    </row>
    <row r="93" spans="1:5" ht="32.1" customHeight="1">
      <c r="A93" s="236" t="s">
        <v>712</v>
      </c>
      <c r="B93" s="237">
        <v>0</v>
      </c>
      <c r="C93" s="237">
        <v>2638</v>
      </c>
      <c r="D93" s="237">
        <v>0</v>
      </c>
      <c r="E93" s="237">
        <v>40450</v>
      </c>
    </row>
    <row r="94" spans="1:5" ht="32.1" customHeight="1">
      <c r="A94" s="236" t="s">
        <v>713</v>
      </c>
      <c r="B94" s="237">
        <v>0</v>
      </c>
      <c r="C94" s="237">
        <v>1644</v>
      </c>
      <c r="D94" s="237">
        <v>0</v>
      </c>
      <c r="E94" s="237">
        <v>40449</v>
      </c>
    </row>
    <row r="95" spans="1:5" ht="32.1" customHeight="1">
      <c r="A95" s="236" t="s">
        <v>714</v>
      </c>
      <c r="B95" s="237">
        <v>0</v>
      </c>
      <c r="C95" s="237">
        <v>31</v>
      </c>
      <c r="D95" s="237">
        <v>0</v>
      </c>
      <c r="E95" s="237">
        <v>1420</v>
      </c>
    </row>
    <row r="96" spans="1:5" ht="32.1" customHeight="1">
      <c r="A96" s="236" t="s">
        <v>715</v>
      </c>
      <c r="B96" s="237">
        <v>210512</v>
      </c>
      <c r="C96" s="237">
        <v>778</v>
      </c>
      <c r="D96" s="237">
        <v>164573</v>
      </c>
      <c r="E96" s="237">
        <v>15952</v>
      </c>
    </row>
    <row r="97" spans="1:5" ht="32.1" customHeight="1">
      <c r="A97" s="236" t="s">
        <v>716</v>
      </c>
      <c r="B97" s="237">
        <v>121960</v>
      </c>
      <c r="C97" s="237">
        <v>582</v>
      </c>
      <c r="D97" s="237">
        <v>104831</v>
      </c>
      <c r="E97" s="237">
        <v>13902</v>
      </c>
    </row>
    <row r="98" spans="1:5" ht="32.1" customHeight="1">
      <c r="A98" s="236" t="s">
        <v>717</v>
      </c>
      <c r="B98" s="237">
        <v>109032</v>
      </c>
      <c r="C98" s="237">
        <v>656</v>
      </c>
      <c r="D98" s="237">
        <v>98097</v>
      </c>
      <c r="E98" s="237">
        <v>1042</v>
      </c>
    </row>
    <row r="99" spans="1:5" ht="32.1" customHeight="1">
      <c r="A99" s="236" t="s">
        <v>718</v>
      </c>
      <c r="B99" s="237">
        <v>564018</v>
      </c>
      <c r="C99" s="237">
        <v>2282</v>
      </c>
      <c r="D99" s="237">
        <v>450622</v>
      </c>
      <c r="E99" s="237">
        <v>15453</v>
      </c>
    </row>
    <row r="100" spans="1:5" ht="32.1" customHeight="1">
      <c r="A100" s="236" t="s">
        <v>719</v>
      </c>
      <c r="B100" s="237">
        <v>2262</v>
      </c>
      <c r="C100" s="237">
        <v>15</v>
      </c>
      <c r="D100" s="237">
        <v>1631</v>
      </c>
      <c r="E100" s="237">
        <v>13</v>
      </c>
    </row>
    <row r="101" spans="1:5" ht="32.1" customHeight="1">
      <c r="A101" s="236" t="s">
        <v>733</v>
      </c>
      <c r="B101" s="237">
        <v>0</v>
      </c>
      <c r="C101" s="237">
        <v>54</v>
      </c>
      <c r="D101" s="237">
        <v>0</v>
      </c>
      <c r="E101" s="237">
        <v>2593</v>
      </c>
    </row>
    <row r="102" spans="1:5" ht="32.1" customHeight="1">
      <c r="A102" s="236" t="s">
        <v>720</v>
      </c>
      <c r="B102" s="237">
        <v>12136</v>
      </c>
      <c r="C102" s="237">
        <v>78</v>
      </c>
      <c r="D102" s="237">
        <v>11618</v>
      </c>
      <c r="E102" s="237">
        <v>94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A7A7-234B-4BEA-A334-A3A27A47A2EF}">
  <dimension ref="A1:E104"/>
  <sheetViews>
    <sheetView workbookViewId="0">
      <selection sqref="A1:E1"/>
    </sheetView>
  </sheetViews>
  <sheetFormatPr defaultColWidth="9" defaultRowHeight="16.5"/>
  <cols>
    <col min="1" max="1" width="48.5" style="14" customWidth="1"/>
    <col min="2" max="3" width="28.375" style="14" customWidth="1"/>
    <col min="4" max="5" width="28.5" style="14" customWidth="1"/>
    <col min="6" max="16384" width="9" style="14"/>
  </cols>
  <sheetData>
    <row r="1" spans="1:5" ht="33.950000000000003" customHeight="1">
      <c r="A1" s="435" t="s">
        <v>734</v>
      </c>
      <c r="B1" s="436"/>
      <c r="C1" s="436"/>
      <c r="D1" s="436"/>
      <c r="E1" s="436"/>
    </row>
    <row r="2" spans="1:5" ht="36.950000000000003" customHeight="1">
      <c r="A2" s="235" t="s">
        <v>624</v>
      </c>
      <c r="B2" s="235" t="s">
        <v>625</v>
      </c>
      <c r="C2" s="235" t="s">
        <v>626</v>
      </c>
      <c r="D2" s="235" t="s">
        <v>340</v>
      </c>
      <c r="E2" s="235" t="s">
        <v>342</v>
      </c>
    </row>
    <row r="3" spans="1:5" ht="32.1" customHeight="1">
      <c r="A3" s="236" t="s">
        <v>627</v>
      </c>
      <c r="B3" s="237">
        <v>85515136</v>
      </c>
      <c r="C3" s="237">
        <v>432069</v>
      </c>
      <c r="D3" s="237">
        <v>64127716</v>
      </c>
      <c r="E3" s="237">
        <v>3519231</v>
      </c>
    </row>
    <row r="4" spans="1:5" ht="32.1" customHeight="1">
      <c r="A4" s="236" t="s">
        <v>628</v>
      </c>
      <c r="B4" s="237">
        <v>65976928</v>
      </c>
      <c r="C4" s="237">
        <v>328216</v>
      </c>
      <c r="D4" s="237">
        <v>49538896</v>
      </c>
      <c r="E4" s="237">
        <v>2623974</v>
      </c>
    </row>
    <row r="5" spans="1:5" ht="32.1" customHeight="1">
      <c r="A5" s="236" t="s">
        <v>629</v>
      </c>
      <c r="B5" s="237">
        <v>32825791</v>
      </c>
      <c r="C5" s="237">
        <v>149360</v>
      </c>
      <c r="D5" s="237">
        <v>23753884</v>
      </c>
      <c r="E5" s="237">
        <v>1750900</v>
      </c>
    </row>
    <row r="6" spans="1:5" ht="32.1" customHeight="1">
      <c r="A6" s="236" t="s">
        <v>630</v>
      </c>
      <c r="B6" s="237">
        <v>20219623</v>
      </c>
      <c r="C6" s="237">
        <v>103700</v>
      </c>
      <c r="D6" s="237">
        <v>15131318</v>
      </c>
      <c r="E6" s="237">
        <v>805002</v>
      </c>
    </row>
    <row r="7" spans="1:5" ht="32.1" customHeight="1">
      <c r="A7" s="236" t="s">
        <v>631</v>
      </c>
      <c r="B7" s="237">
        <v>3495453</v>
      </c>
      <c r="C7" s="237">
        <v>18616</v>
      </c>
      <c r="D7" s="237">
        <v>3071539</v>
      </c>
      <c r="E7" s="237">
        <v>20378</v>
      </c>
    </row>
    <row r="8" spans="1:5" ht="32.1" customHeight="1">
      <c r="A8" s="236" t="s">
        <v>632</v>
      </c>
      <c r="B8" s="237">
        <v>2196584</v>
      </c>
      <c r="C8" s="237">
        <v>11764</v>
      </c>
      <c r="D8" s="237">
        <v>1778205</v>
      </c>
      <c r="E8" s="237">
        <v>11295</v>
      </c>
    </row>
    <row r="9" spans="1:5" ht="32.1" customHeight="1">
      <c r="A9" s="236" t="s">
        <v>633</v>
      </c>
      <c r="B9" s="237">
        <v>3293705</v>
      </c>
      <c r="C9" s="237">
        <v>20636</v>
      </c>
      <c r="D9" s="237">
        <v>2521425</v>
      </c>
      <c r="E9" s="237">
        <v>19882</v>
      </c>
    </row>
    <row r="10" spans="1:5" ht="32.1" customHeight="1">
      <c r="A10" s="236" t="s">
        <v>634</v>
      </c>
      <c r="B10" s="237">
        <v>2065792</v>
      </c>
      <c r="C10" s="237">
        <v>14160</v>
      </c>
      <c r="D10" s="237">
        <v>1773415</v>
      </c>
      <c r="E10" s="237">
        <v>9760</v>
      </c>
    </row>
    <row r="11" spans="1:5" ht="32.1" customHeight="1">
      <c r="A11" s="236" t="s">
        <v>722</v>
      </c>
      <c r="B11" s="237">
        <v>1879980</v>
      </c>
      <c r="C11" s="237">
        <v>9980</v>
      </c>
      <c r="D11" s="237">
        <v>1509110</v>
      </c>
      <c r="E11" s="237">
        <v>6757</v>
      </c>
    </row>
    <row r="12" spans="1:5" ht="32.1" customHeight="1">
      <c r="A12" s="236" t="s">
        <v>635</v>
      </c>
      <c r="B12" s="237">
        <v>19538208</v>
      </c>
      <c r="C12" s="237">
        <v>103853</v>
      </c>
      <c r="D12" s="237">
        <v>14588820</v>
      </c>
      <c r="E12" s="237">
        <v>895258</v>
      </c>
    </row>
    <row r="13" spans="1:5" ht="32.1" customHeight="1">
      <c r="A13" s="236" t="s">
        <v>638</v>
      </c>
      <c r="B13" s="237">
        <v>311330</v>
      </c>
      <c r="C13" s="237">
        <v>1132</v>
      </c>
      <c r="D13" s="237">
        <v>197726</v>
      </c>
      <c r="E13" s="237">
        <v>8548</v>
      </c>
    </row>
    <row r="14" spans="1:5" ht="32.1" customHeight="1">
      <c r="A14" s="236" t="s">
        <v>735</v>
      </c>
      <c r="B14" s="237">
        <v>0</v>
      </c>
      <c r="C14" s="237">
        <v>90</v>
      </c>
      <c r="D14" s="237">
        <v>0</v>
      </c>
      <c r="E14" s="237">
        <v>4691</v>
      </c>
    </row>
    <row r="15" spans="1:5" ht="32.1" customHeight="1">
      <c r="A15" s="236" t="s">
        <v>640</v>
      </c>
      <c r="B15" s="237">
        <v>0</v>
      </c>
      <c r="C15" s="237">
        <v>16</v>
      </c>
      <c r="D15" s="237">
        <v>0</v>
      </c>
      <c r="E15" s="237">
        <v>362</v>
      </c>
    </row>
    <row r="16" spans="1:5" ht="32.1" customHeight="1">
      <c r="A16" s="236" t="s">
        <v>641</v>
      </c>
      <c r="B16" s="237">
        <v>194148</v>
      </c>
      <c r="C16" s="237">
        <v>684</v>
      </c>
      <c r="D16" s="237">
        <v>162708</v>
      </c>
      <c r="E16" s="237">
        <v>24396</v>
      </c>
    </row>
    <row r="17" spans="1:5" ht="32.1" customHeight="1">
      <c r="A17" s="236" t="s">
        <v>736</v>
      </c>
      <c r="B17" s="237">
        <v>0</v>
      </c>
      <c r="C17" s="237">
        <v>40</v>
      </c>
      <c r="D17" s="237">
        <v>0</v>
      </c>
      <c r="E17" s="237">
        <v>2244</v>
      </c>
    </row>
    <row r="18" spans="1:5" ht="32.1" customHeight="1">
      <c r="A18" s="236" t="s">
        <v>643</v>
      </c>
      <c r="B18" s="237">
        <v>407698</v>
      </c>
      <c r="C18" s="237">
        <v>1977</v>
      </c>
      <c r="D18" s="237">
        <v>328323</v>
      </c>
      <c r="E18" s="237">
        <v>12659</v>
      </c>
    </row>
    <row r="19" spans="1:5" ht="32.1" customHeight="1">
      <c r="A19" s="236" t="s">
        <v>644</v>
      </c>
      <c r="B19" s="237">
        <v>0</v>
      </c>
      <c r="C19" s="237">
        <v>24</v>
      </c>
      <c r="D19" s="237">
        <v>0</v>
      </c>
      <c r="E19" s="237">
        <v>306</v>
      </c>
    </row>
    <row r="20" spans="1:5" ht="32.1" customHeight="1">
      <c r="A20" s="236" t="s">
        <v>645</v>
      </c>
      <c r="B20" s="237">
        <v>104562</v>
      </c>
      <c r="C20" s="237">
        <v>410</v>
      </c>
      <c r="D20" s="237">
        <v>86677</v>
      </c>
      <c r="E20" s="237">
        <v>3230</v>
      </c>
    </row>
    <row r="21" spans="1:5" ht="32.1" customHeight="1">
      <c r="A21" s="236" t="s">
        <v>646</v>
      </c>
      <c r="B21" s="237">
        <v>548377</v>
      </c>
      <c r="C21" s="237">
        <v>2356</v>
      </c>
      <c r="D21" s="237">
        <v>304748</v>
      </c>
      <c r="E21" s="237">
        <v>18526</v>
      </c>
    </row>
    <row r="22" spans="1:5" ht="32.1" customHeight="1">
      <c r="A22" s="236" t="s">
        <v>647</v>
      </c>
      <c r="B22" s="237">
        <v>0</v>
      </c>
      <c r="C22" s="237">
        <v>78</v>
      </c>
      <c r="D22" s="237">
        <v>0</v>
      </c>
      <c r="E22" s="237">
        <v>2273</v>
      </c>
    </row>
    <row r="23" spans="1:5" ht="32.1" customHeight="1">
      <c r="A23" s="236" t="s">
        <v>648</v>
      </c>
      <c r="B23" s="237">
        <v>65520</v>
      </c>
      <c r="C23" s="237">
        <v>634</v>
      </c>
      <c r="D23" s="237">
        <v>52390</v>
      </c>
      <c r="E23" s="237">
        <v>807</v>
      </c>
    </row>
    <row r="24" spans="1:5" ht="32.1" customHeight="1">
      <c r="A24" s="236" t="s">
        <v>649</v>
      </c>
      <c r="B24" s="237">
        <v>281918</v>
      </c>
      <c r="C24" s="237">
        <v>1152</v>
      </c>
      <c r="D24" s="237">
        <v>209081</v>
      </c>
      <c r="E24" s="237">
        <v>12631</v>
      </c>
    </row>
    <row r="25" spans="1:5" ht="32.1" customHeight="1">
      <c r="A25" s="236" t="s">
        <v>737</v>
      </c>
      <c r="B25" s="237">
        <v>1000</v>
      </c>
      <c r="C25" s="237">
        <v>8</v>
      </c>
      <c r="D25" s="237">
        <v>680</v>
      </c>
      <c r="E25" s="237">
        <v>8</v>
      </c>
    </row>
    <row r="26" spans="1:5" ht="32.1" customHeight="1">
      <c r="A26" s="236" t="s">
        <v>738</v>
      </c>
      <c r="B26" s="237">
        <v>0</v>
      </c>
      <c r="C26" s="237">
        <v>1</v>
      </c>
      <c r="D26" s="237">
        <v>0</v>
      </c>
      <c r="E26" s="237">
        <v>15</v>
      </c>
    </row>
    <row r="27" spans="1:5" ht="32.1" customHeight="1">
      <c r="A27" s="236" t="s">
        <v>650</v>
      </c>
      <c r="B27" s="237">
        <v>141630</v>
      </c>
      <c r="C27" s="237">
        <v>682</v>
      </c>
      <c r="D27" s="237">
        <v>115909</v>
      </c>
      <c r="E27" s="237">
        <v>3222</v>
      </c>
    </row>
    <row r="28" spans="1:5" ht="32.1" customHeight="1">
      <c r="A28" s="236" t="s">
        <v>651</v>
      </c>
      <c r="B28" s="237">
        <v>0</v>
      </c>
      <c r="C28" s="237">
        <v>511</v>
      </c>
      <c r="D28" s="237">
        <v>0</v>
      </c>
      <c r="E28" s="237">
        <v>35752</v>
      </c>
    </row>
    <row r="29" spans="1:5" ht="32.1" customHeight="1">
      <c r="A29" s="236" t="s">
        <v>652</v>
      </c>
      <c r="B29" s="237">
        <v>823134</v>
      </c>
      <c r="C29" s="237">
        <v>3421</v>
      </c>
      <c r="D29" s="237">
        <v>629317</v>
      </c>
      <c r="E29" s="237">
        <v>20204</v>
      </c>
    </row>
    <row r="30" spans="1:5" ht="32.1" customHeight="1">
      <c r="A30" s="236" t="s">
        <v>653</v>
      </c>
      <c r="B30" s="237">
        <v>0</v>
      </c>
      <c r="C30" s="237">
        <v>7</v>
      </c>
      <c r="D30" s="237">
        <v>0</v>
      </c>
      <c r="E30" s="237">
        <v>215</v>
      </c>
    </row>
    <row r="31" spans="1:5" ht="32.1" customHeight="1">
      <c r="A31" s="236" t="s">
        <v>654</v>
      </c>
      <c r="B31" s="237">
        <v>147924</v>
      </c>
      <c r="C31" s="237">
        <v>897</v>
      </c>
      <c r="D31" s="237">
        <v>100861</v>
      </c>
      <c r="E31" s="237">
        <v>1491</v>
      </c>
    </row>
    <row r="32" spans="1:5" ht="32.1" customHeight="1">
      <c r="A32" s="236" t="s">
        <v>655</v>
      </c>
      <c r="B32" s="237">
        <v>134938</v>
      </c>
      <c r="C32" s="237">
        <v>820</v>
      </c>
      <c r="D32" s="237">
        <v>74082</v>
      </c>
      <c r="E32" s="237">
        <v>2032</v>
      </c>
    </row>
    <row r="33" spans="1:5" ht="32.1" customHeight="1">
      <c r="A33" s="236" t="s">
        <v>656</v>
      </c>
      <c r="B33" s="237">
        <v>421329</v>
      </c>
      <c r="C33" s="237">
        <v>1715</v>
      </c>
      <c r="D33" s="237">
        <v>362156</v>
      </c>
      <c r="E33" s="237">
        <v>9437</v>
      </c>
    </row>
    <row r="34" spans="1:5" ht="32.1" customHeight="1">
      <c r="A34" s="236" t="s">
        <v>724</v>
      </c>
      <c r="B34" s="237">
        <v>24400</v>
      </c>
      <c r="C34" s="237">
        <v>140</v>
      </c>
      <c r="D34" s="237">
        <v>15267</v>
      </c>
      <c r="E34" s="237">
        <v>238</v>
      </c>
    </row>
    <row r="35" spans="1:5" ht="32.1" customHeight="1">
      <c r="A35" s="236" t="s">
        <v>658</v>
      </c>
      <c r="B35" s="237">
        <v>161118</v>
      </c>
      <c r="C35" s="237">
        <v>988</v>
      </c>
      <c r="D35" s="237">
        <v>98090</v>
      </c>
      <c r="E35" s="237">
        <v>2236</v>
      </c>
    </row>
    <row r="36" spans="1:5" ht="32.1" customHeight="1">
      <c r="A36" s="236" t="s">
        <v>659</v>
      </c>
      <c r="B36" s="237">
        <v>334869</v>
      </c>
      <c r="C36" s="237">
        <v>1943</v>
      </c>
      <c r="D36" s="237">
        <v>225675</v>
      </c>
      <c r="E36" s="237">
        <v>2850</v>
      </c>
    </row>
    <row r="37" spans="1:5" ht="32.1" customHeight="1">
      <c r="A37" s="236" t="s">
        <v>660</v>
      </c>
      <c r="B37" s="237">
        <v>484865</v>
      </c>
      <c r="C37" s="237">
        <v>2761</v>
      </c>
      <c r="D37" s="237">
        <v>384438</v>
      </c>
      <c r="E37" s="237">
        <v>5787</v>
      </c>
    </row>
    <row r="38" spans="1:5" ht="32.1" customHeight="1">
      <c r="A38" s="236" t="s">
        <v>739</v>
      </c>
      <c r="B38" s="237">
        <v>49755</v>
      </c>
      <c r="C38" s="237">
        <v>307</v>
      </c>
      <c r="D38" s="237">
        <v>34718</v>
      </c>
      <c r="E38" s="237">
        <v>337</v>
      </c>
    </row>
    <row r="39" spans="1:5" ht="32.1" customHeight="1">
      <c r="A39" s="236" t="s">
        <v>662</v>
      </c>
      <c r="B39" s="237">
        <v>5040</v>
      </c>
      <c r="C39" s="237">
        <v>39</v>
      </c>
      <c r="D39" s="237">
        <v>4352</v>
      </c>
      <c r="E39" s="237">
        <v>44</v>
      </c>
    </row>
    <row r="40" spans="1:5" ht="32.1" customHeight="1">
      <c r="A40" s="236" t="s">
        <v>665</v>
      </c>
      <c r="B40" s="237">
        <v>823215</v>
      </c>
      <c r="C40" s="237">
        <v>2925</v>
      </c>
      <c r="D40" s="237">
        <v>488786</v>
      </c>
      <c r="E40" s="237">
        <v>26461</v>
      </c>
    </row>
    <row r="41" spans="1:5" ht="32.1" customHeight="1">
      <c r="A41" s="236" t="s">
        <v>740</v>
      </c>
      <c r="B41" s="237">
        <v>152</v>
      </c>
      <c r="C41" s="237">
        <v>2</v>
      </c>
      <c r="D41" s="237">
        <v>104</v>
      </c>
      <c r="E41" s="237">
        <v>27</v>
      </c>
    </row>
    <row r="42" spans="1:5" ht="32.1" customHeight="1">
      <c r="A42" s="236" t="s">
        <v>667</v>
      </c>
      <c r="B42" s="237">
        <v>0</v>
      </c>
      <c r="C42" s="237">
        <v>176</v>
      </c>
      <c r="D42" s="237">
        <v>0</v>
      </c>
      <c r="E42" s="237">
        <v>3954</v>
      </c>
    </row>
    <row r="43" spans="1:5" ht="32.1" customHeight="1">
      <c r="A43" s="236" t="s">
        <v>668</v>
      </c>
      <c r="B43" s="237">
        <v>0</v>
      </c>
      <c r="C43" s="237">
        <v>359</v>
      </c>
      <c r="D43" s="237">
        <v>0</v>
      </c>
      <c r="E43" s="237">
        <v>4658</v>
      </c>
    </row>
    <row r="44" spans="1:5" ht="32.1" customHeight="1">
      <c r="A44" s="236" t="s">
        <v>669</v>
      </c>
      <c r="B44" s="237">
        <v>0</v>
      </c>
      <c r="C44" s="237">
        <v>3</v>
      </c>
      <c r="D44" s="237">
        <v>0</v>
      </c>
      <c r="E44" s="237">
        <v>181</v>
      </c>
    </row>
    <row r="45" spans="1:5" ht="32.1" customHeight="1">
      <c r="A45" s="236" t="s">
        <v>671</v>
      </c>
      <c r="B45" s="237">
        <v>1580</v>
      </c>
      <c r="C45" s="237">
        <v>10</v>
      </c>
      <c r="D45" s="237">
        <v>659</v>
      </c>
      <c r="E45" s="237">
        <v>9</v>
      </c>
    </row>
    <row r="46" spans="1:5" ht="32.1" customHeight="1">
      <c r="A46" s="236" t="s">
        <v>672</v>
      </c>
      <c r="B46" s="237">
        <v>0</v>
      </c>
      <c r="C46" s="237">
        <v>230</v>
      </c>
      <c r="D46" s="237">
        <v>0</v>
      </c>
      <c r="E46" s="237">
        <v>1427</v>
      </c>
    </row>
    <row r="47" spans="1:5" ht="32.1" customHeight="1">
      <c r="A47" s="236" t="s">
        <v>673</v>
      </c>
      <c r="B47" s="237">
        <v>365010</v>
      </c>
      <c r="C47" s="237">
        <v>730</v>
      </c>
      <c r="D47" s="237">
        <v>280961</v>
      </c>
      <c r="E47" s="237">
        <v>12716</v>
      </c>
    </row>
    <row r="48" spans="1:5" ht="32.1" customHeight="1">
      <c r="A48" s="236" t="s">
        <v>674</v>
      </c>
      <c r="B48" s="237">
        <v>208386</v>
      </c>
      <c r="C48" s="237">
        <v>816</v>
      </c>
      <c r="D48" s="237">
        <v>174335</v>
      </c>
      <c r="E48" s="237">
        <v>10538</v>
      </c>
    </row>
    <row r="49" spans="1:5" ht="32.1" customHeight="1">
      <c r="A49" s="236" t="s">
        <v>675</v>
      </c>
      <c r="B49" s="237">
        <v>0</v>
      </c>
      <c r="C49" s="237">
        <v>4</v>
      </c>
      <c r="D49" s="237">
        <v>0</v>
      </c>
      <c r="E49" s="237">
        <v>50</v>
      </c>
    </row>
    <row r="50" spans="1:5" ht="32.1" customHeight="1">
      <c r="A50" s="236" t="s">
        <v>726</v>
      </c>
      <c r="B50" s="237">
        <v>0</v>
      </c>
      <c r="C50" s="237">
        <v>688</v>
      </c>
      <c r="D50" s="237">
        <v>0</v>
      </c>
      <c r="E50" s="237">
        <v>20736</v>
      </c>
    </row>
    <row r="51" spans="1:5" ht="32.1" customHeight="1">
      <c r="A51" s="236" t="s">
        <v>676</v>
      </c>
      <c r="B51" s="237">
        <v>119286</v>
      </c>
      <c r="C51" s="237">
        <v>846</v>
      </c>
      <c r="D51" s="237">
        <v>80617</v>
      </c>
      <c r="E51" s="237">
        <v>1462</v>
      </c>
    </row>
    <row r="52" spans="1:5" ht="32.1" customHeight="1">
      <c r="A52" s="236" t="s">
        <v>677</v>
      </c>
      <c r="B52" s="237">
        <v>0</v>
      </c>
      <c r="C52" s="237">
        <v>218</v>
      </c>
      <c r="D52" s="237">
        <v>0</v>
      </c>
      <c r="E52" s="237">
        <v>4141</v>
      </c>
    </row>
    <row r="53" spans="1:5" ht="32.1" customHeight="1">
      <c r="A53" s="236" t="s">
        <v>678</v>
      </c>
      <c r="B53" s="237">
        <v>0</v>
      </c>
      <c r="C53" s="237">
        <v>4</v>
      </c>
      <c r="D53" s="237">
        <v>0</v>
      </c>
      <c r="E53" s="237">
        <v>46</v>
      </c>
    </row>
    <row r="54" spans="1:5" ht="32.1" customHeight="1">
      <c r="A54" s="236" t="s">
        <v>679</v>
      </c>
      <c r="B54" s="237">
        <v>37744</v>
      </c>
      <c r="C54" s="237">
        <v>196</v>
      </c>
      <c r="D54" s="237">
        <v>21072</v>
      </c>
      <c r="E54" s="237">
        <v>875</v>
      </c>
    </row>
    <row r="55" spans="1:5" ht="32.1" customHeight="1">
      <c r="A55" s="236" t="s">
        <v>727</v>
      </c>
      <c r="B55" s="237">
        <v>271063</v>
      </c>
      <c r="C55" s="237">
        <v>719</v>
      </c>
      <c r="D55" s="237">
        <v>195497</v>
      </c>
      <c r="E55" s="237">
        <v>7451</v>
      </c>
    </row>
    <row r="56" spans="1:5" ht="32.1" customHeight="1">
      <c r="A56" s="236" t="s">
        <v>728</v>
      </c>
      <c r="B56" s="237">
        <v>0</v>
      </c>
      <c r="C56" s="237">
        <v>1212</v>
      </c>
      <c r="D56" s="237">
        <v>0</v>
      </c>
      <c r="E56" s="237">
        <v>35254</v>
      </c>
    </row>
    <row r="57" spans="1:5" ht="32.1" customHeight="1">
      <c r="A57" s="236" t="s">
        <v>680</v>
      </c>
      <c r="B57" s="237">
        <v>56242</v>
      </c>
      <c r="C57" s="237">
        <v>208</v>
      </c>
      <c r="D57" s="237">
        <v>39864</v>
      </c>
      <c r="E57" s="237">
        <v>1491</v>
      </c>
    </row>
    <row r="58" spans="1:5" ht="32.1" customHeight="1">
      <c r="A58" s="236" t="s">
        <v>681</v>
      </c>
      <c r="B58" s="237">
        <v>153226</v>
      </c>
      <c r="C58" s="237">
        <v>722</v>
      </c>
      <c r="D58" s="237">
        <v>136681</v>
      </c>
      <c r="E58" s="237">
        <v>6901</v>
      </c>
    </row>
    <row r="59" spans="1:5" ht="32.1" customHeight="1">
      <c r="A59" s="236" t="s">
        <v>682</v>
      </c>
      <c r="B59" s="237">
        <v>0</v>
      </c>
      <c r="C59" s="237">
        <v>617</v>
      </c>
      <c r="D59" s="237">
        <v>0</v>
      </c>
      <c r="E59" s="237">
        <v>21256</v>
      </c>
    </row>
    <row r="60" spans="1:5" ht="32.1" customHeight="1">
      <c r="A60" s="236" t="s">
        <v>729</v>
      </c>
      <c r="B60" s="237">
        <v>148423</v>
      </c>
      <c r="C60" s="237">
        <v>721</v>
      </c>
      <c r="D60" s="237">
        <v>74347</v>
      </c>
      <c r="E60" s="237">
        <v>6843</v>
      </c>
    </row>
    <row r="61" spans="1:5" ht="32.1" customHeight="1">
      <c r="A61" s="236" t="s">
        <v>683</v>
      </c>
      <c r="B61" s="237">
        <v>0</v>
      </c>
      <c r="C61" s="237">
        <v>2</v>
      </c>
      <c r="D61" s="237">
        <v>0</v>
      </c>
      <c r="E61" s="237">
        <v>0</v>
      </c>
    </row>
    <row r="62" spans="1:5" ht="32.1" customHeight="1">
      <c r="A62" s="236" t="s">
        <v>684</v>
      </c>
      <c r="B62" s="237">
        <v>45511</v>
      </c>
      <c r="C62" s="237">
        <v>643</v>
      </c>
      <c r="D62" s="237">
        <v>29664</v>
      </c>
      <c r="E62" s="237">
        <v>2061</v>
      </c>
    </row>
    <row r="63" spans="1:5" ht="32.1" customHeight="1">
      <c r="A63" s="236" t="s">
        <v>730</v>
      </c>
      <c r="B63" s="237">
        <v>89130</v>
      </c>
      <c r="C63" s="237">
        <v>182</v>
      </c>
      <c r="D63" s="237">
        <v>81340</v>
      </c>
      <c r="E63" s="237">
        <v>2237</v>
      </c>
    </row>
    <row r="64" spans="1:5" ht="32.1" customHeight="1">
      <c r="A64" s="236" t="s">
        <v>741</v>
      </c>
      <c r="B64" s="237">
        <v>477</v>
      </c>
      <c r="C64" s="237">
        <v>1</v>
      </c>
      <c r="D64" s="237">
        <v>494</v>
      </c>
      <c r="E64" s="237">
        <v>4</v>
      </c>
    </row>
    <row r="65" spans="1:5" ht="32.1" customHeight="1">
      <c r="A65" s="236" t="s">
        <v>685</v>
      </c>
      <c r="B65" s="237">
        <v>46212</v>
      </c>
      <c r="C65" s="237">
        <v>224</v>
      </c>
      <c r="D65" s="237">
        <v>33411</v>
      </c>
      <c r="E65" s="237">
        <v>1423</v>
      </c>
    </row>
    <row r="66" spans="1:5" ht="32.1" customHeight="1">
      <c r="A66" s="236" t="s">
        <v>686</v>
      </c>
      <c r="B66" s="237">
        <v>0</v>
      </c>
      <c r="C66" s="237">
        <v>161</v>
      </c>
      <c r="D66" s="237">
        <v>0</v>
      </c>
      <c r="E66" s="237">
        <v>11443</v>
      </c>
    </row>
    <row r="67" spans="1:5" ht="32.1" customHeight="1">
      <c r="A67" s="236" t="s">
        <v>687</v>
      </c>
      <c r="B67" s="237">
        <v>464919</v>
      </c>
      <c r="C67" s="237">
        <v>1434</v>
      </c>
      <c r="D67" s="237">
        <v>379734</v>
      </c>
      <c r="E67" s="237">
        <v>15277</v>
      </c>
    </row>
    <row r="68" spans="1:5" ht="32.1" customHeight="1">
      <c r="A68" s="236" t="s">
        <v>688</v>
      </c>
      <c r="B68" s="237">
        <v>2649</v>
      </c>
      <c r="C68" s="237">
        <v>20</v>
      </c>
      <c r="D68" s="237">
        <v>1490</v>
      </c>
      <c r="E68" s="237">
        <v>29</v>
      </c>
    </row>
    <row r="69" spans="1:5" ht="32.1" customHeight="1">
      <c r="A69" s="236" t="s">
        <v>689</v>
      </c>
      <c r="B69" s="237">
        <v>0</v>
      </c>
      <c r="C69" s="237">
        <v>2998</v>
      </c>
      <c r="D69" s="237">
        <v>0</v>
      </c>
      <c r="E69" s="237">
        <v>48204</v>
      </c>
    </row>
    <row r="70" spans="1:5" ht="32.1" customHeight="1">
      <c r="A70" s="236" t="s">
        <v>690</v>
      </c>
      <c r="B70" s="237">
        <v>0</v>
      </c>
      <c r="C70" s="237">
        <v>2</v>
      </c>
      <c r="D70" s="237">
        <v>0</v>
      </c>
      <c r="E70" s="237">
        <v>110</v>
      </c>
    </row>
    <row r="71" spans="1:5" ht="32.1" customHeight="1">
      <c r="A71" s="236" t="s">
        <v>731</v>
      </c>
      <c r="B71" s="237">
        <v>142272</v>
      </c>
      <c r="C71" s="237">
        <v>416</v>
      </c>
      <c r="D71" s="237">
        <v>74586</v>
      </c>
      <c r="E71" s="237">
        <v>1715</v>
      </c>
    </row>
    <row r="72" spans="1:5" ht="32.1" customHeight="1">
      <c r="A72" s="236" t="s">
        <v>692</v>
      </c>
      <c r="B72" s="237">
        <v>1270046</v>
      </c>
      <c r="C72" s="237">
        <v>6124</v>
      </c>
      <c r="D72" s="237">
        <v>1037345</v>
      </c>
      <c r="E72" s="237">
        <v>24539</v>
      </c>
    </row>
    <row r="73" spans="1:5" ht="32.1" customHeight="1">
      <c r="A73" s="236" t="s">
        <v>693</v>
      </c>
      <c r="B73" s="237">
        <v>0</v>
      </c>
      <c r="C73" s="237">
        <v>214</v>
      </c>
      <c r="D73" s="237">
        <v>0</v>
      </c>
      <c r="E73" s="237">
        <v>9400</v>
      </c>
    </row>
    <row r="74" spans="1:5" ht="32.1" customHeight="1">
      <c r="A74" s="236" t="s">
        <v>694</v>
      </c>
      <c r="B74" s="237">
        <v>980094</v>
      </c>
      <c r="C74" s="237">
        <v>4247</v>
      </c>
      <c r="D74" s="237">
        <v>806743</v>
      </c>
      <c r="E74" s="237">
        <v>13667</v>
      </c>
    </row>
    <row r="75" spans="1:5" ht="32.1" customHeight="1">
      <c r="A75" s="236" t="s">
        <v>695</v>
      </c>
      <c r="B75" s="237">
        <v>0</v>
      </c>
      <c r="C75" s="237">
        <v>390</v>
      </c>
      <c r="D75" s="237">
        <v>0</v>
      </c>
      <c r="E75" s="237">
        <v>21331</v>
      </c>
    </row>
    <row r="76" spans="1:5" ht="32.1" customHeight="1">
      <c r="A76" s="236" t="s">
        <v>696</v>
      </c>
      <c r="B76" s="237">
        <v>1238112</v>
      </c>
      <c r="C76" s="237">
        <v>7332</v>
      </c>
      <c r="D76" s="237">
        <v>945502</v>
      </c>
      <c r="E76" s="237">
        <v>22505</v>
      </c>
    </row>
    <row r="77" spans="1:5" ht="32.1" customHeight="1">
      <c r="A77" s="236" t="s">
        <v>697</v>
      </c>
      <c r="B77" s="237">
        <v>1737022</v>
      </c>
      <c r="C77" s="237">
        <v>10281</v>
      </c>
      <c r="D77" s="237">
        <v>1323586</v>
      </c>
      <c r="E77" s="237">
        <v>29257</v>
      </c>
    </row>
    <row r="78" spans="1:5" ht="32.1" customHeight="1">
      <c r="A78" s="236" t="s">
        <v>698</v>
      </c>
      <c r="B78" s="237">
        <v>1932670</v>
      </c>
      <c r="C78" s="237">
        <v>11071</v>
      </c>
      <c r="D78" s="237">
        <v>1359713</v>
      </c>
      <c r="E78" s="237">
        <v>32182</v>
      </c>
    </row>
    <row r="79" spans="1:5" ht="32.1" customHeight="1">
      <c r="A79" s="236" t="s">
        <v>699</v>
      </c>
      <c r="B79" s="237">
        <v>78402</v>
      </c>
      <c r="C79" s="237">
        <v>468</v>
      </c>
      <c r="D79" s="237">
        <v>58752</v>
      </c>
      <c r="E79" s="237">
        <v>1296</v>
      </c>
    </row>
    <row r="80" spans="1:5" ht="32.1" customHeight="1">
      <c r="A80" s="236" t="s">
        <v>700</v>
      </c>
      <c r="B80" s="237">
        <v>0</v>
      </c>
      <c r="C80" s="237">
        <v>520</v>
      </c>
      <c r="D80" s="237">
        <v>0</v>
      </c>
      <c r="E80" s="237">
        <v>4381</v>
      </c>
    </row>
    <row r="81" spans="1:5" ht="32.1" customHeight="1">
      <c r="A81" s="236" t="s">
        <v>701</v>
      </c>
      <c r="B81" s="237">
        <v>52248</v>
      </c>
      <c r="C81" s="237">
        <v>348</v>
      </c>
      <c r="D81" s="237">
        <v>36142</v>
      </c>
      <c r="E81" s="237">
        <v>1009</v>
      </c>
    </row>
    <row r="82" spans="1:5" ht="32.1" customHeight="1">
      <c r="A82" s="236" t="s">
        <v>702</v>
      </c>
      <c r="B82" s="237">
        <v>0</v>
      </c>
      <c r="C82" s="237">
        <v>700</v>
      </c>
      <c r="D82" s="237">
        <v>0</v>
      </c>
      <c r="E82" s="237">
        <v>38832</v>
      </c>
    </row>
    <row r="83" spans="1:5" ht="32.1" customHeight="1">
      <c r="A83" s="236" t="s">
        <v>703</v>
      </c>
      <c r="B83" s="237">
        <v>286891</v>
      </c>
      <c r="C83" s="237">
        <v>1051</v>
      </c>
      <c r="D83" s="237">
        <v>225438</v>
      </c>
      <c r="E83" s="237">
        <v>10308</v>
      </c>
    </row>
    <row r="84" spans="1:5" ht="32.1" customHeight="1">
      <c r="A84" s="236" t="s">
        <v>704</v>
      </c>
      <c r="B84" s="237">
        <v>0</v>
      </c>
      <c r="C84" s="237">
        <v>302</v>
      </c>
      <c r="D84" s="237">
        <v>0</v>
      </c>
      <c r="E84" s="237">
        <v>11832</v>
      </c>
    </row>
    <row r="85" spans="1:5" ht="32.1" customHeight="1">
      <c r="A85" s="236" t="s">
        <v>705</v>
      </c>
      <c r="B85" s="237">
        <v>191052</v>
      </c>
      <c r="C85" s="237">
        <v>730</v>
      </c>
      <c r="D85" s="237">
        <v>151178</v>
      </c>
      <c r="E85" s="237">
        <v>10304</v>
      </c>
    </row>
    <row r="86" spans="1:5" ht="32.1" customHeight="1">
      <c r="A86" s="236" t="s">
        <v>706</v>
      </c>
      <c r="B86" s="237">
        <v>0</v>
      </c>
      <c r="C86" s="237">
        <v>29</v>
      </c>
      <c r="D86" s="237">
        <v>0</v>
      </c>
      <c r="E86" s="237">
        <v>665</v>
      </c>
    </row>
    <row r="87" spans="1:5" ht="32.1" customHeight="1">
      <c r="A87" s="236" t="s">
        <v>707</v>
      </c>
      <c r="B87" s="237">
        <v>1219209</v>
      </c>
      <c r="C87" s="237">
        <v>4020</v>
      </c>
      <c r="D87" s="237">
        <v>988646</v>
      </c>
      <c r="E87" s="237">
        <v>49061</v>
      </c>
    </row>
    <row r="88" spans="1:5" ht="32.1" customHeight="1">
      <c r="A88" s="236" t="s">
        <v>742</v>
      </c>
      <c r="B88" s="237">
        <v>6492</v>
      </c>
      <c r="C88" s="237">
        <v>44</v>
      </c>
      <c r="D88" s="237">
        <v>5871</v>
      </c>
      <c r="E88" s="237">
        <v>102</v>
      </c>
    </row>
    <row r="89" spans="1:5" ht="32.1" customHeight="1">
      <c r="A89" s="236" t="s">
        <v>708</v>
      </c>
      <c r="B89" s="237">
        <v>123486</v>
      </c>
      <c r="C89" s="237">
        <v>749</v>
      </c>
      <c r="D89" s="237">
        <v>91068</v>
      </c>
      <c r="E89" s="237">
        <v>1531</v>
      </c>
    </row>
    <row r="90" spans="1:5" ht="32.1" customHeight="1">
      <c r="A90" s="236" t="s">
        <v>743</v>
      </c>
      <c r="B90" s="237">
        <v>418</v>
      </c>
      <c r="C90" s="237">
        <v>2</v>
      </c>
      <c r="D90" s="237">
        <v>60</v>
      </c>
      <c r="E90" s="237">
        <v>1</v>
      </c>
    </row>
    <row r="91" spans="1:5" ht="32.1" customHeight="1">
      <c r="A91" s="236" t="s">
        <v>709</v>
      </c>
      <c r="B91" s="237">
        <v>1134958</v>
      </c>
      <c r="C91" s="237">
        <v>3284</v>
      </c>
      <c r="D91" s="237">
        <v>782469</v>
      </c>
      <c r="E91" s="237">
        <v>38079</v>
      </c>
    </row>
    <row r="92" spans="1:5" ht="32.1" customHeight="1">
      <c r="A92" s="236" t="s">
        <v>710</v>
      </c>
      <c r="B92" s="237">
        <v>186280</v>
      </c>
      <c r="C92" s="237">
        <v>702</v>
      </c>
      <c r="D92" s="237">
        <v>141685</v>
      </c>
      <c r="E92" s="237">
        <v>8183</v>
      </c>
    </row>
    <row r="93" spans="1:5" ht="32.1" customHeight="1">
      <c r="A93" s="236" t="s">
        <v>744</v>
      </c>
      <c r="B93" s="237">
        <v>3502</v>
      </c>
      <c r="C93" s="237">
        <v>22</v>
      </c>
      <c r="D93" s="237">
        <v>2655</v>
      </c>
      <c r="E93" s="237">
        <v>27</v>
      </c>
    </row>
    <row r="94" spans="1:5" ht="32.1" customHeight="1">
      <c r="A94" s="236" t="s">
        <v>712</v>
      </c>
      <c r="B94" s="237">
        <v>0</v>
      </c>
      <c r="C94" s="237">
        <v>2502</v>
      </c>
      <c r="D94" s="237">
        <v>0</v>
      </c>
      <c r="E94" s="237">
        <v>43035</v>
      </c>
    </row>
    <row r="95" spans="1:5" ht="32.1" customHeight="1">
      <c r="A95" s="236" t="s">
        <v>713</v>
      </c>
      <c r="B95" s="237">
        <v>0</v>
      </c>
      <c r="C95" s="237">
        <v>2093</v>
      </c>
      <c r="D95" s="237">
        <v>0</v>
      </c>
      <c r="E95" s="237">
        <v>46688</v>
      </c>
    </row>
    <row r="96" spans="1:5" ht="32.1" customHeight="1">
      <c r="A96" s="236" t="s">
        <v>714</v>
      </c>
      <c r="B96" s="237">
        <v>0</v>
      </c>
      <c r="C96" s="237">
        <v>15</v>
      </c>
      <c r="D96" s="237">
        <v>0</v>
      </c>
      <c r="E96" s="237">
        <v>448</v>
      </c>
    </row>
    <row r="97" spans="1:5" ht="32.1" customHeight="1">
      <c r="A97" s="236" t="s">
        <v>715</v>
      </c>
      <c r="B97" s="237">
        <v>219448</v>
      </c>
      <c r="C97" s="237">
        <v>881</v>
      </c>
      <c r="D97" s="237">
        <v>167272</v>
      </c>
      <c r="E97" s="237">
        <v>17800</v>
      </c>
    </row>
    <row r="98" spans="1:5" ht="32.1" customHeight="1">
      <c r="A98" s="236" t="s">
        <v>716</v>
      </c>
      <c r="B98" s="237">
        <v>174570</v>
      </c>
      <c r="C98" s="237">
        <v>728</v>
      </c>
      <c r="D98" s="237">
        <v>130682</v>
      </c>
      <c r="E98" s="237">
        <v>13164</v>
      </c>
    </row>
    <row r="99" spans="1:5" ht="32.1" customHeight="1">
      <c r="A99" s="236" t="s">
        <v>717</v>
      </c>
      <c r="B99" s="237">
        <v>217760</v>
      </c>
      <c r="C99" s="237">
        <v>1264</v>
      </c>
      <c r="D99" s="237">
        <v>196256</v>
      </c>
      <c r="E99" s="237">
        <v>2005</v>
      </c>
    </row>
    <row r="100" spans="1:5" ht="32.1" customHeight="1">
      <c r="A100" s="236" t="s">
        <v>718</v>
      </c>
      <c r="B100" s="237">
        <v>709808</v>
      </c>
      <c r="C100" s="237">
        <v>2624</v>
      </c>
      <c r="D100" s="237">
        <v>537967</v>
      </c>
      <c r="E100" s="237">
        <v>14302</v>
      </c>
    </row>
    <row r="101" spans="1:5" ht="32.1" customHeight="1">
      <c r="A101" s="236" t="s">
        <v>745</v>
      </c>
      <c r="B101" s="237">
        <v>104276</v>
      </c>
      <c r="C101" s="237">
        <v>402</v>
      </c>
      <c r="D101" s="237">
        <v>77164</v>
      </c>
      <c r="E101" s="237">
        <v>2129</v>
      </c>
    </row>
    <row r="102" spans="1:5" ht="32.1" customHeight="1">
      <c r="A102" s="236" t="s">
        <v>719</v>
      </c>
      <c r="B102" s="237">
        <v>26336</v>
      </c>
      <c r="C102" s="237">
        <v>162</v>
      </c>
      <c r="D102" s="237">
        <v>17249</v>
      </c>
      <c r="E102" s="237">
        <v>221</v>
      </c>
    </row>
    <row r="103" spans="1:5" ht="32.1" customHeight="1">
      <c r="A103" s="236" t="s">
        <v>733</v>
      </c>
      <c r="B103" s="237">
        <v>0</v>
      </c>
      <c r="C103" s="237">
        <v>64</v>
      </c>
      <c r="D103" s="237">
        <v>0</v>
      </c>
      <c r="E103" s="237">
        <v>3208</v>
      </c>
    </row>
    <row r="104" spans="1:5" ht="32.1" customHeight="1">
      <c r="A104" s="236" t="s">
        <v>720</v>
      </c>
      <c r="B104" s="237">
        <v>26076</v>
      </c>
      <c r="C104" s="237">
        <v>166</v>
      </c>
      <c r="D104" s="237">
        <v>24537</v>
      </c>
      <c r="E104" s="237">
        <v>246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5287-AFC3-4A1E-8F74-30AE044B11F8}">
  <dimension ref="A1:E109"/>
  <sheetViews>
    <sheetView workbookViewId="0">
      <selection sqref="A1:E1"/>
    </sheetView>
  </sheetViews>
  <sheetFormatPr defaultColWidth="9" defaultRowHeight="16.5"/>
  <cols>
    <col min="1" max="1" width="48.5" style="14" customWidth="1"/>
    <col min="2" max="3" width="28.375" style="14" customWidth="1"/>
    <col min="4" max="5" width="28.5" style="14" customWidth="1"/>
    <col min="6" max="16384" width="9" style="14"/>
  </cols>
  <sheetData>
    <row r="1" spans="1:5" ht="33.950000000000003" customHeight="1">
      <c r="A1" s="435" t="s">
        <v>746</v>
      </c>
      <c r="B1" s="436"/>
      <c r="C1" s="436"/>
      <c r="D1" s="436"/>
      <c r="E1" s="436"/>
    </row>
    <row r="2" spans="1:5" ht="36.950000000000003" customHeight="1">
      <c r="A2" s="235" t="s">
        <v>624</v>
      </c>
      <c r="B2" s="235" t="s">
        <v>625</v>
      </c>
      <c r="C2" s="235" t="s">
        <v>626</v>
      </c>
      <c r="D2" s="235" t="s">
        <v>340</v>
      </c>
      <c r="E2" s="235" t="s">
        <v>342</v>
      </c>
    </row>
    <row r="3" spans="1:5" ht="32.1" customHeight="1">
      <c r="A3" s="236" t="s">
        <v>627</v>
      </c>
      <c r="B3" s="237">
        <v>91835360</v>
      </c>
      <c r="C3" s="237">
        <v>469354</v>
      </c>
      <c r="D3" s="237">
        <v>69857266</v>
      </c>
      <c r="E3" s="237">
        <v>3474058</v>
      </c>
    </row>
    <row r="4" spans="1:5" ht="32.1" customHeight="1">
      <c r="A4" s="236" t="s">
        <v>628</v>
      </c>
      <c r="B4" s="237">
        <v>70457208</v>
      </c>
      <c r="C4" s="237">
        <v>355775</v>
      </c>
      <c r="D4" s="237">
        <v>53874897</v>
      </c>
      <c r="E4" s="237">
        <v>2556561</v>
      </c>
    </row>
    <row r="5" spans="1:5" ht="32.1" customHeight="1">
      <c r="A5" s="236" t="s">
        <v>629</v>
      </c>
      <c r="B5" s="237">
        <v>33637018</v>
      </c>
      <c r="C5" s="237">
        <v>157693</v>
      </c>
      <c r="D5" s="237">
        <v>24737589</v>
      </c>
      <c r="E5" s="237">
        <v>1645210</v>
      </c>
    </row>
    <row r="6" spans="1:5" ht="32.1" customHeight="1">
      <c r="A6" s="236" t="s">
        <v>630</v>
      </c>
      <c r="B6" s="237">
        <v>20952590</v>
      </c>
      <c r="C6" s="237">
        <v>107195</v>
      </c>
      <c r="D6" s="237">
        <v>15922283</v>
      </c>
      <c r="E6" s="237">
        <v>817254</v>
      </c>
    </row>
    <row r="7" spans="1:5" ht="32.1" customHeight="1">
      <c r="A7" s="236" t="s">
        <v>631</v>
      </c>
      <c r="B7" s="237">
        <v>4499505</v>
      </c>
      <c r="C7" s="237">
        <v>23984</v>
      </c>
      <c r="D7" s="237">
        <v>3876064</v>
      </c>
      <c r="E7" s="237">
        <v>30185</v>
      </c>
    </row>
    <row r="8" spans="1:5" ht="32.1" customHeight="1">
      <c r="A8" s="236" t="s">
        <v>632</v>
      </c>
      <c r="B8" s="237">
        <v>2808291</v>
      </c>
      <c r="C8" s="237">
        <v>15061</v>
      </c>
      <c r="D8" s="237">
        <v>2364057</v>
      </c>
      <c r="E8" s="237">
        <v>16830</v>
      </c>
    </row>
    <row r="9" spans="1:5" ht="32.1" customHeight="1">
      <c r="A9" s="236" t="s">
        <v>633</v>
      </c>
      <c r="B9" s="237">
        <v>3651760</v>
      </c>
      <c r="C9" s="237">
        <v>22167</v>
      </c>
      <c r="D9" s="237">
        <v>2784602</v>
      </c>
      <c r="E9" s="237">
        <v>22067</v>
      </c>
    </row>
    <row r="10" spans="1:5" ht="32.1" customHeight="1">
      <c r="A10" s="236" t="s">
        <v>634</v>
      </c>
      <c r="B10" s="237">
        <v>2628161</v>
      </c>
      <c r="C10" s="237">
        <v>17585</v>
      </c>
      <c r="D10" s="237">
        <v>2274159</v>
      </c>
      <c r="E10" s="237">
        <v>14278</v>
      </c>
    </row>
    <row r="11" spans="1:5" ht="32.1" customHeight="1">
      <c r="A11" s="236" t="s">
        <v>722</v>
      </c>
      <c r="B11" s="237">
        <v>2279883</v>
      </c>
      <c r="C11" s="237">
        <v>12090</v>
      </c>
      <c r="D11" s="237">
        <v>1916143</v>
      </c>
      <c r="E11" s="237">
        <v>10737</v>
      </c>
    </row>
    <row r="12" spans="1:5" ht="32.1" customHeight="1">
      <c r="A12" s="236" t="s">
        <v>635</v>
      </c>
      <c r="B12" s="237">
        <v>21378152</v>
      </c>
      <c r="C12" s="237">
        <v>113579</v>
      </c>
      <c r="D12" s="237">
        <v>15982369</v>
      </c>
      <c r="E12" s="237">
        <v>917497</v>
      </c>
    </row>
    <row r="13" spans="1:5" ht="32.1" customHeight="1">
      <c r="A13" s="236" t="s">
        <v>747</v>
      </c>
      <c r="B13" s="237">
        <v>6570</v>
      </c>
      <c r="C13" s="237">
        <v>49</v>
      </c>
      <c r="D13" s="237">
        <v>4456</v>
      </c>
      <c r="E13" s="237">
        <v>65</v>
      </c>
    </row>
    <row r="14" spans="1:5" ht="32.1" customHeight="1">
      <c r="A14" s="236" t="s">
        <v>638</v>
      </c>
      <c r="B14" s="237">
        <v>322480</v>
      </c>
      <c r="C14" s="237">
        <v>1268</v>
      </c>
      <c r="D14" s="237">
        <v>228646</v>
      </c>
      <c r="E14" s="237">
        <v>12279</v>
      </c>
    </row>
    <row r="15" spans="1:5" ht="32.1" customHeight="1">
      <c r="A15" s="236" t="s">
        <v>641</v>
      </c>
      <c r="B15" s="237">
        <v>199432</v>
      </c>
      <c r="C15" s="237">
        <v>706</v>
      </c>
      <c r="D15" s="237">
        <v>173769</v>
      </c>
      <c r="E15" s="237">
        <v>27223</v>
      </c>
    </row>
    <row r="16" spans="1:5" ht="32.1" customHeight="1">
      <c r="A16" s="236" t="s">
        <v>736</v>
      </c>
      <c r="B16" s="237">
        <v>0</v>
      </c>
      <c r="C16" s="237">
        <v>52</v>
      </c>
      <c r="D16" s="237">
        <v>0</v>
      </c>
      <c r="E16" s="237">
        <v>2409</v>
      </c>
    </row>
    <row r="17" spans="1:5" ht="32.1" customHeight="1">
      <c r="A17" s="236" t="s">
        <v>643</v>
      </c>
      <c r="B17" s="237">
        <v>365906</v>
      </c>
      <c r="C17" s="237">
        <v>1702</v>
      </c>
      <c r="D17" s="237">
        <v>310020</v>
      </c>
      <c r="E17" s="237">
        <v>14025</v>
      </c>
    </row>
    <row r="18" spans="1:5" ht="32.1" customHeight="1">
      <c r="A18" s="236" t="s">
        <v>645</v>
      </c>
      <c r="B18" s="237">
        <v>151734</v>
      </c>
      <c r="C18" s="237">
        <v>558</v>
      </c>
      <c r="D18" s="237">
        <v>123941</v>
      </c>
      <c r="E18" s="237">
        <v>4412</v>
      </c>
    </row>
    <row r="19" spans="1:5" ht="32.1" customHeight="1">
      <c r="A19" s="236" t="s">
        <v>646</v>
      </c>
      <c r="B19" s="237">
        <v>516888</v>
      </c>
      <c r="C19" s="237">
        <v>2372</v>
      </c>
      <c r="D19" s="237">
        <v>286978</v>
      </c>
      <c r="E19" s="237">
        <v>18012</v>
      </c>
    </row>
    <row r="20" spans="1:5" ht="32.1" customHeight="1">
      <c r="A20" s="236" t="s">
        <v>647</v>
      </c>
      <c r="B20" s="237">
        <v>0</v>
      </c>
      <c r="C20" s="237">
        <v>342</v>
      </c>
      <c r="D20" s="237">
        <v>0</v>
      </c>
      <c r="E20" s="237">
        <v>7322</v>
      </c>
    </row>
    <row r="21" spans="1:5" ht="32.1" customHeight="1">
      <c r="A21" s="236" t="s">
        <v>648</v>
      </c>
      <c r="B21" s="237">
        <v>49296</v>
      </c>
      <c r="C21" s="237">
        <v>478</v>
      </c>
      <c r="D21" s="237">
        <v>39111</v>
      </c>
      <c r="E21" s="237">
        <v>595</v>
      </c>
    </row>
    <row r="22" spans="1:5" ht="32.1" customHeight="1">
      <c r="A22" s="236" t="s">
        <v>649</v>
      </c>
      <c r="B22" s="237">
        <v>221163</v>
      </c>
      <c r="C22" s="237">
        <v>791</v>
      </c>
      <c r="D22" s="237">
        <v>168918</v>
      </c>
      <c r="E22" s="237">
        <v>12040</v>
      </c>
    </row>
    <row r="23" spans="1:5" ht="32.1" customHeight="1">
      <c r="A23" s="236" t="s">
        <v>737</v>
      </c>
      <c r="B23" s="237">
        <v>9115</v>
      </c>
      <c r="C23" s="237">
        <v>37</v>
      </c>
      <c r="D23" s="237">
        <v>4411</v>
      </c>
      <c r="E23" s="237">
        <v>58</v>
      </c>
    </row>
    <row r="24" spans="1:5" ht="32.1" customHeight="1">
      <c r="A24" s="236" t="s">
        <v>738</v>
      </c>
      <c r="B24" s="237">
        <v>0</v>
      </c>
      <c r="C24" s="237">
        <v>13</v>
      </c>
      <c r="D24" s="237">
        <v>0</v>
      </c>
      <c r="E24" s="237">
        <v>100</v>
      </c>
    </row>
    <row r="25" spans="1:5" ht="32.1" customHeight="1">
      <c r="A25" s="236" t="s">
        <v>748</v>
      </c>
      <c r="B25" s="237">
        <v>1472</v>
      </c>
      <c r="C25" s="237">
        <v>12</v>
      </c>
      <c r="D25" s="237">
        <v>1423</v>
      </c>
      <c r="E25" s="237">
        <v>19</v>
      </c>
    </row>
    <row r="26" spans="1:5" ht="32.1" customHeight="1">
      <c r="A26" s="236" t="s">
        <v>650</v>
      </c>
      <c r="B26" s="237">
        <v>166990</v>
      </c>
      <c r="C26" s="237">
        <v>704</v>
      </c>
      <c r="D26" s="237">
        <v>142732</v>
      </c>
      <c r="E26" s="237">
        <v>4157</v>
      </c>
    </row>
    <row r="27" spans="1:5" ht="32.1" customHeight="1">
      <c r="A27" s="236" t="s">
        <v>651</v>
      </c>
      <c r="B27" s="237">
        <v>0</v>
      </c>
      <c r="C27" s="237">
        <v>235</v>
      </c>
      <c r="D27" s="237">
        <v>0</v>
      </c>
      <c r="E27" s="237">
        <v>17097</v>
      </c>
    </row>
    <row r="28" spans="1:5" ht="32.1" customHeight="1">
      <c r="A28" s="236" t="s">
        <v>749</v>
      </c>
      <c r="B28" s="237">
        <v>23400</v>
      </c>
      <c r="C28" s="237">
        <v>130</v>
      </c>
      <c r="D28" s="237">
        <v>14297</v>
      </c>
      <c r="E28" s="237">
        <v>124</v>
      </c>
    </row>
    <row r="29" spans="1:5" ht="32.1" customHeight="1">
      <c r="A29" s="236" t="s">
        <v>652</v>
      </c>
      <c r="B29" s="237">
        <v>806012</v>
      </c>
      <c r="C29" s="237">
        <v>3428</v>
      </c>
      <c r="D29" s="237">
        <v>657539</v>
      </c>
      <c r="E29" s="237">
        <v>21044</v>
      </c>
    </row>
    <row r="30" spans="1:5" ht="32.1" customHeight="1">
      <c r="A30" s="236" t="s">
        <v>653</v>
      </c>
      <c r="B30" s="237">
        <v>0</v>
      </c>
      <c r="C30" s="237">
        <v>8</v>
      </c>
      <c r="D30" s="237">
        <v>0</v>
      </c>
      <c r="E30" s="237">
        <v>205</v>
      </c>
    </row>
    <row r="31" spans="1:5" ht="32.1" customHeight="1">
      <c r="A31" s="236" t="s">
        <v>654</v>
      </c>
      <c r="B31" s="237">
        <v>141210</v>
      </c>
      <c r="C31" s="237">
        <v>877</v>
      </c>
      <c r="D31" s="237">
        <v>99939</v>
      </c>
      <c r="E31" s="237">
        <v>1471</v>
      </c>
    </row>
    <row r="32" spans="1:5" ht="32.1" customHeight="1">
      <c r="A32" s="236" t="s">
        <v>750</v>
      </c>
      <c r="B32" s="237">
        <v>576</v>
      </c>
      <c r="C32" s="237">
        <v>4</v>
      </c>
      <c r="D32" s="237">
        <v>259</v>
      </c>
      <c r="E32" s="237">
        <v>5</v>
      </c>
    </row>
    <row r="33" spans="1:5" ht="32.1" customHeight="1">
      <c r="A33" s="236" t="s">
        <v>655</v>
      </c>
      <c r="B33" s="237">
        <v>170119</v>
      </c>
      <c r="C33" s="237">
        <v>1028</v>
      </c>
      <c r="D33" s="237">
        <v>86004</v>
      </c>
      <c r="E33" s="237">
        <v>1967</v>
      </c>
    </row>
    <row r="34" spans="1:5" ht="32.1" customHeight="1">
      <c r="A34" s="236" t="s">
        <v>656</v>
      </c>
      <c r="B34" s="237">
        <v>360912</v>
      </c>
      <c r="C34" s="237">
        <v>1359</v>
      </c>
      <c r="D34" s="237">
        <v>309824</v>
      </c>
      <c r="E34" s="237">
        <v>8899</v>
      </c>
    </row>
    <row r="35" spans="1:5" ht="32.1" customHeight="1">
      <c r="A35" s="236" t="s">
        <v>724</v>
      </c>
      <c r="B35" s="237">
        <v>37156</v>
      </c>
      <c r="C35" s="237">
        <v>204</v>
      </c>
      <c r="D35" s="237">
        <v>27309</v>
      </c>
      <c r="E35" s="237">
        <v>451</v>
      </c>
    </row>
    <row r="36" spans="1:5" ht="32.1" customHeight="1">
      <c r="A36" s="236" t="s">
        <v>658</v>
      </c>
      <c r="B36" s="237">
        <v>153956</v>
      </c>
      <c r="C36" s="237">
        <v>936</v>
      </c>
      <c r="D36" s="237">
        <v>92700</v>
      </c>
      <c r="E36" s="237">
        <v>2034</v>
      </c>
    </row>
    <row r="37" spans="1:5" ht="32.1" customHeight="1">
      <c r="A37" s="236" t="s">
        <v>659</v>
      </c>
      <c r="B37" s="237">
        <v>346075</v>
      </c>
      <c r="C37" s="237">
        <v>2030</v>
      </c>
      <c r="D37" s="237">
        <v>253276</v>
      </c>
      <c r="E37" s="237">
        <v>3243</v>
      </c>
    </row>
    <row r="38" spans="1:5" ht="32.1" customHeight="1">
      <c r="A38" s="236" t="s">
        <v>660</v>
      </c>
      <c r="B38" s="237">
        <v>595128</v>
      </c>
      <c r="C38" s="237">
        <v>3344</v>
      </c>
      <c r="D38" s="237">
        <v>410768</v>
      </c>
      <c r="E38" s="237">
        <v>7180</v>
      </c>
    </row>
    <row r="39" spans="1:5" ht="32.1" customHeight="1">
      <c r="A39" s="236" t="s">
        <v>739</v>
      </c>
      <c r="B39" s="237">
        <v>106530</v>
      </c>
      <c r="C39" s="237">
        <v>613</v>
      </c>
      <c r="D39" s="237">
        <v>84535</v>
      </c>
      <c r="E39" s="237">
        <v>832</v>
      </c>
    </row>
    <row r="40" spans="1:5" ht="32.1" customHeight="1">
      <c r="A40" s="236" t="s">
        <v>662</v>
      </c>
      <c r="B40" s="237">
        <v>104244</v>
      </c>
      <c r="C40" s="237">
        <v>710</v>
      </c>
      <c r="D40" s="237">
        <v>59166</v>
      </c>
      <c r="E40" s="237">
        <v>388</v>
      </c>
    </row>
    <row r="41" spans="1:5" ht="32.1" customHeight="1">
      <c r="A41" s="236" t="s">
        <v>751</v>
      </c>
      <c r="B41" s="237">
        <v>0</v>
      </c>
      <c r="C41" s="237">
        <v>2</v>
      </c>
      <c r="D41" s="237">
        <v>0</v>
      </c>
      <c r="E41" s="237">
        <v>72</v>
      </c>
    </row>
    <row r="42" spans="1:5" ht="32.1" customHeight="1">
      <c r="A42" s="236" t="s">
        <v>665</v>
      </c>
      <c r="B42" s="237">
        <v>994116</v>
      </c>
      <c r="C42" s="237">
        <v>3522</v>
      </c>
      <c r="D42" s="237">
        <v>606485</v>
      </c>
      <c r="E42" s="237">
        <v>28662</v>
      </c>
    </row>
    <row r="43" spans="1:5" ht="32.1" customHeight="1">
      <c r="A43" s="236" t="s">
        <v>666</v>
      </c>
      <c r="B43" s="237">
        <v>0</v>
      </c>
      <c r="C43" s="237">
        <v>2</v>
      </c>
      <c r="D43" s="237">
        <v>0</v>
      </c>
      <c r="E43" s="237">
        <v>34</v>
      </c>
    </row>
    <row r="44" spans="1:5" ht="32.1" customHeight="1">
      <c r="A44" s="236" t="s">
        <v>667</v>
      </c>
      <c r="B44" s="237">
        <v>0</v>
      </c>
      <c r="C44" s="237">
        <v>174</v>
      </c>
      <c r="D44" s="237">
        <v>0</v>
      </c>
      <c r="E44" s="237">
        <v>4440</v>
      </c>
    </row>
    <row r="45" spans="1:5" ht="32.1" customHeight="1">
      <c r="A45" s="236" t="s">
        <v>668</v>
      </c>
      <c r="B45" s="237">
        <v>0</v>
      </c>
      <c r="C45" s="237">
        <v>279</v>
      </c>
      <c r="D45" s="237">
        <v>0</v>
      </c>
      <c r="E45" s="237">
        <v>3992</v>
      </c>
    </row>
    <row r="46" spans="1:5" ht="32.1" customHeight="1">
      <c r="A46" s="236" t="s">
        <v>669</v>
      </c>
      <c r="B46" s="237">
        <v>0</v>
      </c>
      <c r="C46" s="237">
        <v>3</v>
      </c>
      <c r="D46" s="237">
        <v>0</v>
      </c>
      <c r="E46" s="237">
        <v>231</v>
      </c>
    </row>
    <row r="47" spans="1:5" ht="32.1" customHeight="1">
      <c r="A47" s="236" t="s">
        <v>752</v>
      </c>
      <c r="B47" s="237">
        <v>0</v>
      </c>
      <c r="C47" s="237">
        <v>2</v>
      </c>
      <c r="D47" s="237">
        <v>0</v>
      </c>
      <c r="E47" s="237">
        <v>105</v>
      </c>
    </row>
    <row r="48" spans="1:5" ht="32.1" customHeight="1">
      <c r="A48" s="236" t="s">
        <v>670</v>
      </c>
      <c r="B48" s="237">
        <v>0</v>
      </c>
      <c r="C48" s="237">
        <v>2</v>
      </c>
      <c r="D48" s="237">
        <v>0</v>
      </c>
      <c r="E48" s="237">
        <v>68</v>
      </c>
    </row>
    <row r="49" spans="1:5" ht="32.1" customHeight="1">
      <c r="A49" s="236" t="s">
        <v>671</v>
      </c>
      <c r="B49" s="237">
        <v>1932</v>
      </c>
      <c r="C49" s="237">
        <v>12</v>
      </c>
      <c r="D49" s="237">
        <v>1035</v>
      </c>
      <c r="E49" s="237">
        <v>13</v>
      </c>
    </row>
    <row r="50" spans="1:5" ht="32.1" customHeight="1">
      <c r="A50" s="236" t="s">
        <v>672</v>
      </c>
      <c r="B50" s="237">
        <v>0</v>
      </c>
      <c r="C50" s="237">
        <v>328</v>
      </c>
      <c r="D50" s="237">
        <v>0</v>
      </c>
      <c r="E50" s="237">
        <v>2337</v>
      </c>
    </row>
    <row r="51" spans="1:5" ht="32.1" customHeight="1">
      <c r="A51" s="236" t="s">
        <v>673</v>
      </c>
      <c r="B51" s="237">
        <v>337063</v>
      </c>
      <c r="C51" s="237">
        <v>765</v>
      </c>
      <c r="D51" s="237">
        <v>279020</v>
      </c>
      <c r="E51" s="237">
        <v>13927</v>
      </c>
    </row>
    <row r="52" spans="1:5" ht="32.1" customHeight="1">
      <c r="A52" s="236" t="s">
        <v>674</v>
      </c>
      <c r="B52" s="237">
        <v>312216</v>
      </c>
      <c r="C52" s="237">
        <v>1188</v>
      </c>
      <c r="D52" s="237">
        <v>256290</v>
      </c>
      <c r="E52" s="237">
        <v>13157</v>
      </c>
    </row>
    <row r="53" spans="1:5" ht="32.1" customHeight="1">
      <c r="A53" s="236" t="s">
        <v>675</v>
      </c>
      <c r="B53" s="237">
        <v>0</v>
      </c>
      <c r="C53" s="237">
        <v>26</v>
      </c>
      <c r="D53" s="237">
        <v>0</v>
      </c>
      <c r="E53" s="237">
        <v>569</v>
      </c>
    </row>
    <row r="54" spans="1:5" ht="32.1" customHeight="1">
      <c r="A54" s="236" t="s">
        <v>726</v>
      </c>
      <c r="B54" s="237">
        <v>0</v>
      </c>
      <c r="C54" s="237">
        <v>604</v>
      </c>
      <c r="D54" s="237">
        <v>0</v>
      </c>
      <c r="E54" s="237">
        <v>15888</v>
      </c>
    </row>
    <row r="55" spans="1:5" ht="32.1" customHeight="1">
      <c r="A55" s="236" t="s">
        <v>676</v>
      </c>
      <c r="B55" s="237">
        <v>116748</v>
      </c>
      <c r="C55" s="237">
        <v>780</v>
      </c>
      <c r="D55" s="237">
        <v>89056</v>
      </c>
      <c r="E55" s="237">
        <v>1973</v>
      </c>
    </row>
    <row r="56" spans="1:5" ht="32.1" customHeight="1">
      <c r="A56" s="236" t="s">
        <v>677</v>
      </c>
      <c r="B56" s="237">
        <v>0</v>
      </c>
      <c r="C56" s="237">
        <v>182</v>
      </c>
      <c r="D56" s="237">
        <v>0</v>
      </c>
      <c r="E56" s="237">
        <v>3608</v>
      </c>
    </row>
    <row r="57" spans="1:5" ht="32.1" customHeight="1">
      <c r="A57" s="236" t="s">
        <v>753</v>
      </c>
      <c r="B57" s="237">
        <v>11060</v>
      </c>
      <c r="C57" s="237">
        <v>72</v>
      </c>
      <c r="D57" s="237">
        <v>6345</v>
      </c>
      <c r="E57" s="237">
        <v>162</v>
      </c>
    </row>
    <row r="58" spans="1:5" ht="32.1" customHeight="1">
      <c r="A58" s="236" t="s">
        <v>679</v>
      </c>
      <c r="B58" s="237">
        <v>39084</v>
      </c>
      <c r="C58" s="237">
        <v>210</v>
      </c>
      <c r="D58" s="237">
        <v>23654</v>
      </c>
      <c r="E58" s="237">
        <v>848</v>
      </c>
    </row>
    <row r="59" spans="1:5" ht="32.1" customHeight="1">
      <c r="A59" s="236" t="s">
        <v>754</v>
      </c>
      <c r="B59" s="237">
        <v>11520</v>
      </c>
      <c r="C59" s="237">
        <v>64</v>
      </c>
      <c r="D59" s="237">
        <v>5005</v>
      </c>
      <c r="E59" s="237">
        <v>33</v>
      </c>
    </row>
    <row r="60" spans="1:5" ht="32.1" customHeight="1">
      <c r="A60" s="236" t="s">
        <v>727</v>
      </c>
      <c r="B60" s="237">
        <v>275587</v>
      </c>
      <c r="C60" s="237">
        <v>731</v>
      </c>
      <c r="D60" s="237">
        <v>229035</v>
      </c>
      <c r="E60" s="237">
        <v>7639</v>
      </c>
    </row>
    <row r="61" spans="1:5" ht="32.1" customHeight="1">
      <c r="A61" s="236" t="s">
        <v>728</v>
      </c>
      <c r="B61" s="237">
        <v>0</v>
      </c>
      <c r="C61" s="237">
        <v>1211</v>
      </c>
      <c r="D61" s="237">
        <v>0</v>
      </c>
      <c r="E61" s="237">
        <v>39077</v>
      </c>
    </row>
    <row r="62" spans="1:5" ht="32.1" customHeight="1">
      <c r="A62" s="236" t="s">
        <v>680</v>
      </c>
      <c r="B62" s="237">
        <v>56364</v>
      </c>
      <c r="C62" s="237">
        <v>210</v>
      </c>
      <c r="D62" s="237">
        <v>42759</v>
      </c>
      <c r="E62" s="237">
        <v>1668</v>
      </c>
    </row>
    <row r="63" spans="1:5" ht="32.1" customHeight="1">
      <c r="A63" s="236" t="s">
        <v>681</v>
      </c>
      <c r="B63" s="237">
        <v>152701</v>
      </c>
      <c r="C63" s="237">
        <v>722</v>
      </c>
      <c r="D63" s="237">
        <v>140354</v>
      </c>
      <c r="E63" s="237">
        <v>6328</v>
      </c>
    </row>
    <row r="64" spans="1:5" ht="32.1" customHeight="1">
      <c r="A64" s="236" t="s">
        <v>682</v>
      </c>
      <c r="B64" s="237">
        <v>0</v>
      </c>
      <c r="C64" s="237">
        <v>620</v>
      </c>
      <c r="D64" s="237">
        <v>0</v>
      </c>
      <c r="E64" s="237">
        <v>21574</v>
      </c>
    </row>
    <row r="65" spans="1:5" ht="32.1" customHeight="1">
      <c r="A65" s="236" t="s">
        <v>729</v>
      </c>
      <c r="B65" s="237">
        <v>169195</v>
      </c>
      <c r="C65" s="237">
        <v>728</v>
      </c>
      <c r="D65" s="237">
        <v>116947</v>
      </c>
      <c r="E65" s="237">
        <v>9890</v>
      </c>
    </row>
    <row r="66" spans="1:5" ht="32.1" customHeight="1">
      <c r="A66" s="236" t="s">
        <v>755</v>
      </c>
      <c r="B66" s="237">
        <v>11000</v>
      </c>
      <c r="C66" s="237">
        <v>50</v>
      </c>
      <c r="D66" s="237">
        <v>8490</v>
      </c>
      <c r="E66" s="237">
        <v>568</v>
      </c>
    </row>
    <row r="67" spans="1:5" ht="32.1" customHeight="1">
      <c r="A67" s="236" t="s">
        <v>684</v>
      </c>
      <c r="B67" s="237">
        <v>45990</v>
      </c>
      <c r="C67" s="237">
        <v>627</v>
      </c>
      <c r="D67" s="237">
        <v>29038</v>
      </c>
      <c r="E67" s="237">
        <v>1937</v>
      </c>
    </row>
    <row r="68" spans="1:5" ht="32.1" customHeight="1">
      <c r="A68" s="236" t="s">
        <v>730</v>
      </c>
      <c r="B68" s="237">
        <v>4070</v>
      </c>
      <c r="C68" s="237">
        <v>8</v>
      </c>
      <c r="D68" s="237">
        <v>3907</v>
      </c>
      <c r="E68" s="237">
        <v>105</v>
      </c>
    </row>
    <row r="69" spans="1:5" ht="32.1" customHeight="1">
      <c r="A69" s="236" t="s">
        <v>685</v>
      </c>
      <c r="B69" s="237">
        <v>38968</v>
      </c>
      <c r="C69" s="237">
        <v>176</v>
      </c>
      <c r="D69" s="237">
        <v>27742</v>
      </c>
      <c r="E69" s="237">
        <v>967</v>
      </c>
    </row>
    <row r="70" spans="1:5" ht="32.1" customHeight="1">
      <c r="A70" s="236" t="s">
        <v>756</v>
      </c>
      <c r="B70" s="237">
        <v>8745</v>
      </c>
      <c r="C70" s="237">
        <v>53</v>
      </c>
      <c r="D70" s="237">
        <v>6005</v>
      </c>
      <c r="E70" s="237">
        <v>80</v>
      </c>
    </row>
    <row r="71" spans="1:5" ht="32.1" customHeight="1">
      <c r="A71" s="236" t="s">
        <v>686</v>
      </c>
      <c r="B71" s="237">
        <v>0</v>
      </c>
      <c r="C71" s="237">
        <v>275</v>
      </c>
      <c r="D71" s="237">
        <v>0</v>
      </c>
      <c r="E71" s="237">
        <v>22246</v>
      </c>
    </row>
    <row r="72" spans="1:5" ht="32.1" customHeight="1">
      <c r="A72" s="236" t="s">
        <v>687</v>
      </c>
      <c r="B72" s="237">
        <v>460391</v>
      </c>
      <c r="C72" s="237">
        <v>1420</v>
      </c>
      <c r="D72" s="237">
        <v>376450</v>
      </c>
      <c r="E72" s="237">
        <v>14096</v>
      </c>
    </row>
    <row r="73" spans="1:5" ht="32.1" customHeight="1">
      <c r="A73" s="236" t="s">
        <v>688</v>
      </c>
      <c r="B73" s="237">
        <v>1140</v>
      </c>
      <c r="C73" s="237">
        <v>8</v>
      </c>
      <c r="D73" s="237">
        <v>949</v>
      </c>
      <c r="E73" s="237">
        <v>15</v>
      </c>
    </row>
    <row r="74" spans="1:5" ht="32.1" customHeight="1">
      <c r="A74" s="236" t="s">
        <v>689</v>
      </c>
      <c r="B74" s="237">
        <v>0</v>
      </c>
      <c r="C74" s="237">
        <v>3449</v>
      </c>
      <c r="D74" s="237">
        <v>0</v>
      </c>
      <c r="E74" s="237">
        <v>53431</v>
      </c>
    </row>
    <row r="75" spans="1:5" ht="32.1" customHeight="1">
      <c r="A75" s="236" t="s">
        <v>731</v>
      </c>
      <c r="B75" s="237">
        <v>84116</v>
      </c>
      <c r="C75" s="237">
        <v>294</v>
      </c>
      <c r="D75" s="237">
        <v>47896</v>
      </c>
      <c r="E75" s="237">
        <v>1203</v>
      </c>
    </row>
    <row r="76" spans="1:5" ht="32.1" customHeight="1">
      <c r="A76" s="236" t="s">
        <v>692</v>
      </c>
      <c r="B76" s="237">
        <v>1353972</v>
      </c>
      <c r="C76" s="237">
        <v>6579</v>
      </c>
      <c r="D76" s="237">
        <v>1111703</v>
      </c>
      <c r="E76" s="237">
        <v>27647</v>
      </c>
    </row>
    <row r="77" spans="1:5" ht="32.1" customHeight="1">
      <c r="A77" s="236" t="s">
        <v>693</v>
      </c>
      <c r="B77" s="237">
        <v>0</v>
      </c>
      <c r="C77" s="237">
        <v>282</v>
      </c>
      <c r="D77" s="237">
        <v>0</v>
      </c>
      <c r="E77" s="237">
        <v>9650</v>
      </c>
    </row>
    <row r="78" spans="1:5" ht="32.1" customHeight="1">
      <c r="A78" s="236" t="s">
        <v>694</v>
      </c>
      <c r="B78" s="237">
        <v>1022722</v>
      </c>
      <c r="C78" s="237">
        <v>4391</v>
      </c>
      <c r="D78" s="237">
        <v>803712</v>
      </c>
      <c r="E78" s="237">
        <v>14586</v>
      </c>
    </row>
    <row r="79" spans="1:5" ht="32.1" customHeight="1">
      <c r="A79" s="236" t="s">
        <v>696</v>
      </c>
      <c r="B79" s="237">
        <v>1271506</v>
      </c>
      <c r="C79" s="237">
        <v>7486</v>
      </c>
      <c r="D79" s="237">
        <v>957775</v>
      </c>
      <c r="E79" s="237">
        <v>21819</v>
      </c>
    </row>
    <row r="80" spans="1:5" ht="32.1" customHeight="1">
      <c r="A80" s="236" t="s">
        <v>697</v>
      </c>
      <c r="B80" s="237">
        <v>1921888</v>
      </c>
      <c r="C80" s="237">
        <v>11468</v>
      </c>
      <c r="D80" s="237">
        <v>1426509</v>
      </c>
      <c r="E80" s="237">
        <v>30430</v>
      </c>
    </row>
    <row r="81" spans="1:5" ht="32.1" customHeight="1">
      <c r="A81" s="236" t="s">
        <v>698</v>
      </c>
      <c r="B81" s="237">
        <v>1969297</v>
      </c>
      <c r="C81" s="237">
        <v>11298</v>
      </c>
      <c r="D81" s="237">
        <v>1406596</v>
      </c>
      <c r="E81" s="237">
        <v>31081</v>
      </c>
    </row>
    <row r="82" spans="1:5" ht="32.1" customHeight="1">
      <c r="A82" s="236" t="s">
        <v>699</v>
      </c>
      <c r="B82" s="237">
        <v>122668</v>
      </c>
      <c r="C82" s="237">
        <v>732</v>
      </c>
      <c r="D82" s="237">
        <v>95895</v>
      </c>
      <c r="E82" s="237">
        <v>2135</v>
      </c>
    </row>
    <row r="83" spans="1:5" ht="32.1" customHeight="1">
      <c r="A83" s="236" t="s">
        <v>700</v>
      </c>
      <c r="B83" s="237">
        <v>0</v>
      </c>
      <c r="C83" s="237">
        <v>482</v>
      </c>
      <c r="D83" s="237">
        <v>0</v>
      </c>
      <c r="E83" s="237">
        <v>3913</v>
      </c>
    </row>
    <row r="84" spans="1:5" ht="32.1" customHeight="1">
      <c r="A84" s="236" t="s">
        <v>701</v>
      </c>
      <c r="B84" s="237">
        <v>63536</v>
      </c>
      <c r="C84" s="237">
        <v>386</v>
      </c>
      <c r="D84" s="237">
        <v>46124</v>
      </c>
      <c r="E84" s="237">
        <v>1187</v>
      </c>
    </row>
    <row r="85" spans="1:5" ht="32.1" customHeight="1">
      <c r="A85" s="236" t="s">
        <v>702</v>
      </c>
      <c r="B85" s="237">
        <v>0</v>
      </c>
      <c r="C85" s="237">
        <v>600</v>
      </c>
      <c r="D85" s="237">
        <v>0</v>
      </c>
      <c r="E85" s="237">
        <v>35143</v>
      </c>
    </row>
    <row r="86" spans="1:5" ht="32.1" customHeight="1">
      <c r="A86" s="236" t="s">
        <v>703</v>
      </c>
      <c r="B86" s="237">
        <v>382534</v>
      </c>
      <c r="C86" s="237">
        <v>1582</v>
      </c>
      <c r="D86" s="237">
        <v>286531</v>
      </c>
      <c r="E86" s="237">
        <v>11509</v>
      </c>
    </row>
    <row r="87" spans="1:5" ht="32.1" customHeight="1">
      <c r="A87" s="236" t="s">
        <v>757</v>
      </c>
      <c r="B87" s="237">
        <v>9000</v>
      </c>
      <c r="C87" s="237">
        <v>57</v>
      </c>
      <c r="D87" s="237">
        <v>5973</v>
      </c>
      <c r="E87" s="237">
        <v>51</v>
      </c>
    </row>
    <row r="88" spans="1:5" ht="32.1" customHeight="1">
      <c r="A88" s="236" t="s">
        <v>704</v>
      </c>
      <c r="B88" s="237">
        <v>0</v>
      </c>
      <c r="C88" s="237">
        <v>300</v>
      </c>
      <c r="D88" s="237">
        <v>0</v>
      </c>
      <c r="E88" s="237">
        <v>12442</v>
      </c>
    </row>
    <row r="89" spans="1:5" ht="32.1" customHeight="1">
      <c r="A89" s="236" t="s">
        <v>705</v>
      </c>
      <c r="B89" s="237">
        <v>198419</v>
      </c>
      <c r="C89" s="237">
        <v>864</v>
      </c>
      <c r="D89" s="237">
        <v>167534</v>
      </c>
      <c r="E89" s="237">
        <v>18734</v>
      </c>
    </row>
    <row r="90" spans="1:5" ht="32.1" customHeight="1">
      <c r="A90" s="236" t="s">
        <v>706</v>
      </c>
      <c r="B90" s="237">
        <v>0</v>
      </c>
      <c r="C90" s="237">
        <v>4</v>
      </c>
      <c r="D90" s="237">
        <v>0</v>
      </c>
      <c r="E90" s="237">
        <v>0</v>
      </c>
    </row>
    <row r="91" spans="1:5" ht="32.1" customHeight="1">
      <c r="A91" s="236" t="s">
        <v>707</v>
      </c>
      <c r="B91" s="237">
        <v>1295237</v>
      </c>
      <c r="C91" s="237">
        <v>4332</v>
      </c>
      <c r="D91" s="237">
        <v>1046374</v>
      </c>
      <c r="E91" s="237">
        <v>49844</v>
      </c>
    </row>
    <row r="92" spans="1:5" ht="32.1" customHeight="1">
      <c r="A92" s="236" t="s">
        <v>708</v>
      </c>
      <c r="B92" s="237">
        <v>159942</v>
      </c>
      <c r="C92" s="237">
        <v>945</v>
      </c>
      <c r="D92" s="237">
        <v>121113</v>
      </c>
      <c r="E92" s="237">
        <v>1759</v>
      </c>
    </row>
    <row r="93" spans="1:5" ht="32.1" customHeight="1">
      <c r="A93" s="236" t="s">
        <v>709</v>
      </c>
      <c r="B93" s="237">
        <v>1428282</v>
      </c>
      <c r="C93" s="237">
        <v>4224</v>
      </c>
      <c r="D93" s="237">
        <v>931916</v>
      </c>
      <c r="E93" s="237">
        <v>38515</v>
      </c>
    </row>
    <row r="94" spans="1:5" ht="32.1" customHeight="1">
      <c r="A94" s="236" t="s">
        <v>710</v>
      </c>
      <c r="B94" s="237">
        <v>206808</v>
      </c>
      <c r="C94" s="237">
        <v>826</v>
      </c>
      <c r="D94" s="237">
        <v>174983</v>
      </c>
      <c r="E94" s="237">
        <v>13168</v>
      </c>
    </row>
    <row r="95" spans="1:5" ht="32.1" customHeight="1">
      <c r="A95" s="236" t="s">
        <v>744</v>
      </c>
      <c r="B95" s="237">
        <v>36256</v>
      </c>
      <c r="C95" s="237">
        <v>206</v>
      </c>
      <c r="D95" s="237">
        <v>33710</v>
      </c>
      <c r="E95" s="237">
        <v>349</v>
      </c>
    </row>
    <row r="96" spans="1:5" ht="32.1" customHeight="1">
      <c r="A96" s="236" t="s">
        <v>712</v>
      </c>
      <c r="B96" s="237">
        <v>0</v>
      </c>
      <c r="C96" s="237">
        <v>2503</v>
      </c>
      <c r="D96" s="237">
        <v>0</v>
      </c>
      <c r="E96" s="237">
        <v>49635</v>
      </c>
    </row>
    <row r="97" spans="1:5" ht="32.1" customHeight="1">
      <c r="A97" s="236" t="s">
        <v>713</v>
      </c>
      <c r="B97" s="237">
        <v>0</v>
      </c>
      <c r="C97" s="237">
        <v>2283</v>
      </c>
      <c r="D97" s="237">
        <v>0</v>
      </c>
      <c r="E97" s="237">
        <v>53473</v>
      </c>
    </row>
    <row r="98" spans="1:5" ht="32.1" customHeight="1">
      <c r="A98" s="236" t="s">
        <v>714</v>
      </c>
      <c r="B98" s="237">
        <v>0</v>
      </c>
      <c r="C98" s="237">
        <v>2</v>
      </c>
      <c r="D98" s="237">
        <v>0</v>
      </c>
      <c r="E98" s="237">
        <v>79</v>
      </c>
    </row>
    <row r="99" spans="1:5" ht="32.1" customHeight="1">
      <c r="A99" s="236" t="s">
        <v>715</v>
      </c>
      <c r="B99" s="237">
        <v>218822</v>
      </c>
      <c r="C99" s="237">
        <v>888</v>
      </c>
      <c r="D99" s="237">
        <v>175741</v>
      </c>
      <c r="E99" s="237">
        <v>19367</v>
      </c>
    </row>
    <row r="100" spans="1:5" ht="32.1" customHeight="1">
      <c r="A100" s="236" t="s">
        <v>758</v>
      </c>
      <c r="B100" s="237">
        <v>23704</v>
      </c>
      <c r="C100" s="237">
        <v>107</v>
      </c>
      <c r="D100" s="237">
        <v>18776</v>
      </c>
      <c r="E100" s="237">
        <v>277</v>
      </c>
    </row>
    <row r="101" spans="1:5" ht="32.1" customHeight="1">
      <c r="A101" s="236" t="s">
        <v>759</v>
      </c>
      <c r="B101" s="237">
        <v>221400</v>
      </c>
      <c r="C101" s="237">
        <v>1230</v>
      </c>
      <c r="D101" s="237">
        <v>170163</v>
      </c>
      <c r="E101" s="237">
        <v>1034</v>
      </c>
    </row>
    <row r="102" spans="1:5" ht="32.1" customHeight="1">
      <c r="A102" s="236" t="s">
        <v>716</v>
      </c>
      <c r="B102" s="237">
        <v>160036</v>
      </c>
      <c r="C102" s="237">
        <v>586</v>
      </c>
      <c r="D102" s="237">
        <v>123137</v>
      </c>
      <c r="E102" s="237">
        <v>9240</v>
      </c>
    </row>
    <row r="103" spans="1:5" ht="32.1" customHeight="1">
      <c r="A103" s="236" t="s">
        <v>717</v>
      </c>
      <c r="B103" s="237">
        <v>361616</v>
      </c>
      <c r="C103" s="237">
        <v>2028</v>
      </c>
      <c r="D103" s="237">
        <v>292884</v>
      </c>
      <c r="E103" s="237">
        <v>3215</v>
      </c>
    </row>
    <row r="104" spans="1:5" ht="32.1" customHeight="1">
      <c r="A104" s="236" t="s">
        <v>718</v>
      </c>
      <c r="B104" s="237">
        <v>738656</v>
      </c>
      <c r="C104" s="237">
        <v>3078</v>
      </c>
      <c r="D104" s="237">
        <v>540767</v>
      </c>
      <c r="E104" s="237">
        <v>14495</v>
      </c>
    </row>
    <row r="105" spans="1:5" ht="32.1" customHeight="1">
      <c r="A105" s="236" t="s">
        <v>745</v>
      </c>
      <c r="B105" s="237">
        <v>146916</v>
      </c>
      <c r="C105" s="237">
        <v>566</v>
      </c>
      <c r="D105" s="237">
        <v>107842</v>
      </c>
      <c r="E105" s="237">
        <v>3463</v>
      </c>
    </row>
    <row r="106" spans="1:5" ht="32.1" customHeight="1">
      <c r="A106" s="236" t="s">
        <v>719</v>
      </c>
      <c r="B106" s="237">
        <v>49124</v>
      </c>
      <c r="C106" s="237">
        <v>300</v>
      </c>
      <c r="D106" s="237">
        <v>35668</v>
      </c>
      <c r="E106" s="237">
        <v>413</v>
      </c>
    </row>
    <row r="107" spans="1:5" ht="32.1" customHeight="1">
      <c r="A107" s="236" t="s">
        <v>760</v>
      </c>
      <c r="B107" s="237">
        <v>576</v>
      </c>
      <c r="C107" s="237">
        <v>2</v>
      </c>
      <c r="D107" s="237">
        <v>320</v>
      </c>
      <c r="E107" s="237">
        <v>2</v>
      </c>
    </row>
    <row r="108" spans="1:5" ht="32.1" customHeight="1">
      <c r="A108" s="236" t="s">
        <v>733</v>
      </c>
      <c r="B108" s="237">
        <v>297</v>
      </c>
      <c r="C108" s="237">
        <v>1</v>
      </c>
      <c r="D108" s="237">
        <v>195</v>
      </c>
      <c r="E108" s="237">
        <v>4</v>
      </c>
    </row>
    <row r="109" spans="1:5" ht="32.1" customHeight="1">
      <c r="A109" s="236" t="s">
        <v>720</v>
      </c>
      <c r="B109" s="237">
        <v>26568</v>
      </c>
      <c r="C109" s="237">
        <v>172</v>
      </c>
      <c r="D109" s="237">
        <v>23945</v>
      </c>
      <c r="E109" s="237">
        <v>238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F93BA-A2F7-4754-8B0F-28968FAD761D}">
  <dimension ref="A1:E119"/>
  <sheetViews>
    <sheetView workbookViewId="0">
      <selection sqref="A1:E1"/>
    </sheetView>
  </sheetViews>
  <sheetFormatPr defaultColWidth="9" defaultRowHeight="16.5"/>
  <cols>
    <col min="1" max="1" width="48.5" style="14" customWidth="1"/>
    <col min="2" max="3" width="28.375" style="14" customWidth="1"/>
    <col min="4" max="5" width="28.5" style="14" customWidth="1"/>
    <col min="6" max="16384" width="9" style="14"/>
  </cols>
  <sheetData>
    <row r="1" spans="1:5" ht="33.950000000000003" customHeight="1">
      <c r="A1" s="435" t="s">
        <v>761</v>
      </c>
      <c r="B1" s="436"/>
      <c r="C1" s="436"/>
      <c r="D1" s="436"/>
      <c r="E1" s="436"/>
    </row>
    <row r="2" spans="1:5" ht="36.950000000000003" customHeight="1">
      <c r="A2" s="235" t="s">
        <v>624</v>
      </c>
      <c r="B2" s="235" t="s">
        <v>625</v>
      </c>
      <c r="C2" s="235" t="s">
        <v>626</v>
      </c>
      <c r="D2" s="235" t="s">
        <v>340</v>
      </c>
      <c r="E2" s="235" t="s">
        <v>342</v>
      </c>
    </row>
    <row r="3" spans="1:5" ht="32.1" customHeight="1">
      <c r="A3" s="236" t="s">
        <v>627</v>
      </c>
      <c r="B3" s="237">
        <v>97015350</v>
      </c>
      <c r="C3" s="237">
        <v>500739</v>
      </c>
      <c r="D3" s="237">
        <v>73965044</v>
      </c>
      <c r="E3" s="237">
        <v>3498947</v>
      </c>
    </row>
    <row r="4" spans="1:5" ht="32.1" customHeight="1">
      <c r="A4" s="236" t="s">
        <v>628</v>
      </c>
      <c r="B4" s="237">
        <v>73317719</v>
      </c>
      <c r="C4" s="237">
        <v>375144</v>
      </c>
      <c r="D4" s="237">
        <v>56145585</v>
      </c>
      <c r="E4" s="237">
        <v>2569156</v>
      </c>
    </row>
    <row r="5" spans="1:5" ht="32.1" customHeight="1">
      <c r="A5" s="236" t="s">
        <v>629</v>
      </c>
      <c r="B5" s="237">
        <v>32749187</v>
      </c>
      <c r="C5" s="237">
        <v>156246</v>
      </c>
      <c r="D5" s="237">
        <v>23782373</v>
      </c>
      <c r="E5" s="237">
        <v>1557667</v>
      </c>
    </row>
    <row r="6" spans="1:5" ht="32.1" customHeight="1">
      <c r="A6" s="236" t="s">
        <v>630</v>
      </c>
      <c r="B6" s="237">
        <v>21781892</v>
      </c>
      <c r="C6" s="237">
        <v>111638</v>
      </c>
      <c r="D6" s="237">
        <v>16474697</v>
      </c>
      <c r="E6" s="237">
        <v>891655</v>
      </c>
    </row>
    <row r="7" spans="1:5" ht="32.1" customHeight="1">
      <c r="A7" s="236" t="s">
        <v>631</v>
      </c>
      <c r="B7" s="237">
        <v>5355228</v>
      </c>
      <c r="C7" s="237">
        <v>28559</v>
      </c>
      <c r="D7" s="237">
        <v>4654562</v>
      </c>
      <c r="E7" s="237">
        <v>38605</v>
      </c>
    </row>
    <row r="8" spans="1:5" ht="32.1" customHeight="1">
      <c r="A8" s="236" t="s">
        <v>632</v>
      </c>
      <c r="B8" s="237">
        <v>3353676</v>
      </c>
      <c r="C8" s="237">
        <v>18005</v>
      </c>
      <c r="D8" s="237">
        <v>2799075</v>
      </c>
      <c r="E8" s="237">
        <v>20476</v>
      </c>
    </row>
    <row r="9" spans="1:5" ht="32.1" customHeight="1">
      <c r="A9" s="236" t="s">
        <v>633</v>
      </c>
      <c r="B9" s="237">
        <v>4405466</v>
      </c>
      <c r="C9" s="237">
        <v>26996</v>
      </c>
      <c r="D9" s="237">
        <v>3380160</v>
      </c>
      <c r="E9" s="237">
        <v>26474</v>
      </c>
    </row>
    <row r="10" spans="1:5" ht="32.1" customHeight="1">
      <c r="A10" s="236" t="s">
        <v>634</v>
      </c>
      <c r="B10" s="237">
        <v>3131987</v>
      </c>
      <c r="C10" s="237">
        <v>19795</v>
      </c>
      <c r="D10" s="237">
        <v>2785612</v>
      </c>
      <c r="E10" s="237">
        <v>18432</v>
      </c>
    </row>
    <row r="11" spans="1:5" ht="32.1" customHeight="1">
      <c r="A11" s="236" t="s">
        <v>722</v>
      </c>
      <c r="B11" s="237">
        <v>2540283</v>
      </c>
      <c r="C11" s="237">
        <v>13489</v>
      </c>
      <c r="D11" s="237">
        <v>2269106</v>
      </c>
      <c r="E11" s="237">
        <v>12940</v>
      </c>
    </row>
    <row r="12" spans="1:5" ht="32.1" customHeight="1">
      <c r="A12" s="236" t="s">
        <v>762</v>
      </c>
      <c r="B12" s="237">
        <v>0</v>
      </c>
      <c r="C12" s="237">
        <v>416</v>
      </c>
      <c r="D12" s="237">
        <v>0</v>
      </c>
      <c r="E12" s="237">
        <v>2908</v>
      </c>
    </row>
    <row r="13" spans="1:5" ht="32.1" customHeight="1">
      <c r="A13" s="236" t="s">
        <v>635</v>
      </c>
      <c r="B13" s="237">
        <v>23697631</v>
      </c>
      <c r="C13" s="237">
        <v>125595</v>
      </c>
      <c r="D13" s="237">
        <v>17819459</v>
      </c>
      <c r="E13" s="237">
        <v>929791</v>
      </c>
    </row>
    <row r="14" spans="1:5" ht="32.1" customHeight="1">
      <c r="A14" s="236" t="s">
        <v>763</v>
      </c>
      <c r="B14" s="237">
        <v>0</v>
      </c>
      <c r="C14" s="237">
        <v>1</v>
      </c>
      <c r="D14" s="237">
        <v>0</v>
      </c>
      <c r="E14" s="237">
        <v>25</v>
      </c>
    </row>
    <row r="15" spans="1:5" ht="32.1" customHeight="1">
      <c r="A15" s="236" t="s">
        <v>747</v>
      </c>
      <c r="B15" s="237">
        <v>11826</v>
      </c>
      <c r="C15" s="237">
        <v>82</v>
      </c>
      <c r="D15" s="237">
        <v>8991</v>
      </c>
      <c r="E15" s="237">
        <v>125</v>
      </c>
    </row>
    <row r="16" spans="1:5" ht="32.1" customHeight="1">
      <c r="A16" s="236" t="s">
        <v>638</v>
      </c>
      <c r="B16" s="237">
        <v>337432</v>
      </c>
      <c r="C16" s="237">
        <v>1310</v>
      </c>
      <c r="D16" s="237">
        <v>237062</v>
      </c>
      <c r="E16" s="237">
        <v>12345</v>
      </c>
    </row>
    <row r="17" spans="1:5" ht="32.1" customHeight="1">
      <c r="A17" s="236" t="s">
        <v>641</v>
      </c>
      <c r="B17" s="237">
        <v>202368</v>
      </c>
      <c r="C17" s="237">
        <v>721</v>
      </c>
      <c r="D17" s="237">
        <v>175549</v>
      </c>
      <c r="E17" s="237">
        <v>27075</v>
      </c>
    </row>
    <row r="18" spans="1:5" ht="32.1" customHeight="1">
      <c r="A18" s="236" t="s">
        <v>764</v>
      </c>
      <c r="B18" s="237">
        <v>7630</v>
      </c>
      <c r="C18" s="237">
        <v>35</v>
      </c>
      <c r="D18" s="237">
        <v>4529</v>
      </c>
      <c r="E18" s="237">
        <v>56</v>
      </c>
    </row>
    <row r="19" spans="1:5" ht="32.1" customHeight="1">
      <c r="A19" s="236" t="s">
        <v>643</v>
      </c>
      <c r="B19" s="237">
        <v>280927</v>
      </c>
      <c r="C19" s="237">
        <v>1018</v>
      </c>
      <c r="D19" s="237">
        <v>240276</v>
      </c>
      <c r="E19" s="237">
        <v>11708</v>
      </c>
    </row>
    <row r="20" spans="1:5" ht="32.1" customHeight="1">
      <c r="A20" s="236" t="s">
        <v>765</v>
      </c>
      <c r="B20" s="237">
        <v>63620</v>
      </c>
      <c r="C20" s="237">
        <v>446</v>
      </c>
      <c r="D20" s="237">
        <v>38631</v>
      </c>
      <c r="E20" s="237">
        <v>548</v>
      </c>
    </row>
    <row r="21" spans="1:5" ht="32.1" customHeight="1">
      <c r="A21" s="236" t="s">
        <v>645</v>
      </c>
      <c r="B21" s="237">
        <v>192290</v>
      </c>
      <c r="C21" s="237">
        <v>610</v>
      </c>
      <c r="D21" s="237">
        <v>149496</v>
      </c>
      <c r="E21" s="237">
        <v>5459</v>
      </c>
    </row>
    <row r="22" spans="1:5" ht="32.1" customHeight="1">
      <c r="A22" s="236" t="s">
        <v>766</v>
      </c>
      <c r="B22" s="237">
        <v>0</v>
      </c>
      <c r="C22" s="237">
        <v>9</v>
      </c>
      <c r="D22" s="237">
        <v>0</v>
      </c>
      <c r="E22" s="237">
        <v>105</v>
      </c>
    </row>
    <row r="23" spans="1:5" ht="32.1" customHeight="1">
      <c r="A23" s="236" t="s">
        <v>646</v>
      </c>
      <c r="B23" s="237">
        <v>498923</v>
      </c>
      <c r="C23" s="237">
        <v>2336</v>
      </c>
      <c r="D23" s="237">
        <v>284222</v>
      </c>
      <c r="E23" s="237">
        <v>18732</v>
      </c>
    </row>
    <row r="24" spans="1:5" ht="32.1" customHeight="1">
      <c r="A24" s="236" t="s">
        <v>647</v>
      </c>
      <c r="B24" s="237">
        <v>0</v>
      </c>
      <c r="C24" s="237">
        <v>584</v>
      </c>
      <c r="D24" s="237">
        <v>0</v>
      </c>
      <c r="E24" s="237">
        <v>14316</v>
      </c>
    </row>
    <row r="25" spans="1:5" ht="32.1" customHeight="1">
      <c r="A25" s="236" t="s">
        <v>648</v>
      </c>
      <c r="B25" s="237">
        <v>58484</v>
      </c>
      <c r="C25" s="237">
        <v>564</v>
      </c>
      <c r="D25" s="237">
        <v>45821</v>
      </c>
      <c r="E25" s="237">
        <v>682</v>
      </c>
    </row>
    <row r="26" spans="1:5" ht="32.1" customHeight="1">
      <c r="A26" s="236" t="s">
        <v>649</v>
      </c>
      <c r="B26" s="237">
        <v>207014</v>
      </c>
      <c r="C26" s="237">
        <v>730</v>
      </c>
      <c r="D26" s="237">
        <v>180946</v>
      </c>
      <c r="E26" s="237">
        <v>13097</v>
      </c>
    </row>
    <row r="27" spans="1:5" ht="32.1" customHeight="1">
      <c r="A27" s="236" t="s">
        <v>737</v>
      </c>
      <c r="B27" s="237">
        <v>741</v>
      </c>
      <c r="C27" s="237">
        <v>3</v>
      </c>
      <c r="D27" s="237">
        <v>191</v>
      </c>
      <c r="E27" s="237">
        <v>2</v>
      </c>
    </row>
    <row r="28" spans="1:5" ht="32.1" customHeight="1">
      <c r="A28" s="236" t="s">
        <v>767</v>
      </c>
      <c r="B28" s="237">
        <v>0</v>
      </c>
      <c r="C28" s="237">
        <v>2</v>
      </c>
      <c r="D28" s="237">
        <v>0</v>
      </c>
      <c r="E28" s="237">
        <v>11</v>
      </c>
    </row>
    <row r="29" spans="1:5" ht="32.1" customHeight="1">
      <c r="A29" s="236" t="s">
        <v>748</v>
      </c>
      <c r="B29" s="237">
        <v>4132</v>
      </c>
      <c r="C29" s="237">
        <v>34</v>
      </c>
      <c r="D29" s="237">
        <v>3881</v>
      </c>
      <c r="E29" s="237">
        <v>49</v>
      </c>
    </row>
    <row r="30" spans="1:5" ht="32.1" customHeight="1">
      <c r="A30" s="236" t="s">
        <v>650</v>
      </c>
      <c r="B30" s="237">
        <v>160602</v>
      </c>
      <c r="C30" s="237">
        <v>687</v>
      </c>
      <c r="D30" s="237">
        <v>133236</v>
      </c>
      <c r="E30" s="237">
        <v>4078</v>
      </c>
    </row>
    <row r="31" spans="1:5" ht="32.1" customHeight="1">
      <c r="A31" s="236" t="s">
        <v>651</v>
      </c>
      <c r="B31" s="237">
        <v>0</v>
      </c>
      <c r="C31" s="237">
        <v>143</v>
      </c>
      <c r="D31" s="237">
        <v>0</v>
      </c>
      <c r="E31" s="237">
        <v>11198</v>
      </c>
    </row>
    <row r="32" spans="1:5" ht="32.1" customHeight="1">
      <c r="A32" s="236" t="s">
        <v>749</v>
      </c>
      <c r="B32" s="237">
        <v>188640</v>
      </c>
      <c r="C32" s="237">
        <v>1048</v>
      </c>
      <c r="D32" s="237">
        <v>120119</v>
      </c>
      <c r="E32" s="237">
        <v>1033</v>
      </c>
    </row>
    <row r="33" spans="1:5" ht="32.1" customHeight="1">
      <c r="A33" s="236" t="s">
        <v>652</v>
      </c>
      <c r="B33" s="237">
        <v>913769</v>
      </c>
      <c r="C33" s="237">
        <v>4012</v>
      </c>
      <c r="D33" s="237">
        <v>779345</v>
      </c>
      <c r="E33" s="237">
        <v>23404</v>
      </c>
    </row>
    <row r="34" spans="1:5" ht="32.1" customHeight="1">
      <c r="A34" s="236" t="s">
        <v>653</v>
      </c>
      <c r="B34" s="237">
        <v>0</v>
      </c>
      <c r="C34" s="237">
        <v>8</v>
      </c>
      <c r="D34" s="237">
        <v>0</v>
      </c>
      <c r="E34" s="237">
        <v>333</v>
      </c>
    </row>
    <row r="35" spans="1:5" ht="32.1" customHeight="1">
      <c r="A35" s="236" t="s">
        <v>654</v>
      </c>
      <c r="B35" s="237">
        <v>125496</v>
      </c>
      <c r="C35" s="237">
        <v>756</v>
      </c>
      <c r="D35" s="237">
        <v>76898</v>
      </c>
      <c r="E35" s="237">
        <v>1074</v>
      </c>
    </row>
    <row r="36" spans="1:5" ht="32.1" customHeight="1">
      <c r="A36" s="236" t="s">
        <v>768</v>
      </c>
      <c r="B36" s="237">
        <v>480</v>
      </c>
      <c r="C36" s="237">
        <v>3</v>
      </c>
      <c r="D36" s="237">
        <v>469</v>
      </c>
      <c r="E36" s="237">
        <v>0</v>
      </c>
    </row>
    <row r="37" spans="1:5" ht="32.1" customHeight="1">
      <c r="A37" s="236" t="s">
        <v>655</v>
      </c>
      <c r="B37" s="237">
        <v>148984</v>
      </c>
      <c r="C37" s="237">
        <v>984</v>
      </c>
      <c r="D37" s="237">
        <v>75972</v>
      </c>
      <c r="E37" s="237">
        <v>1500</v>
      </c>
    </row>
    <row r="38" spans="1:5" ht="32.1" customHeight="1">
      <c r="A38" s="236" t="s">
        <v>769</v>
      </c>
      <c r="B38" s="237">
        <v>3960</v>
      </c>
      <c r="C38" s="237">
        <v>27</v>
      </c>
      <c r="D38" s="237">
        <v>3404</v>
      </c>
      <c r="E38" s="237">
        <v>32</v>
      </c>
    </row>
    <row r="39" spans="1:5" ht="32.1" customHeight="1">
      <c r="A39" s="236" t="s">
        <v>656</v>
      </c>
      <c r="B39" s="237">
        <v>354994</v>
      </c>
      <c r="C39" s="237">
        <v>1347</v>
      </c>
      <c r="D39" s="237">
        <v>315047</v>
      </c>
      <c r="E39" s="237">
        <v>7829</v>
      </c>
    </row>
    <row r="40" spans="1:5" ht="32.1" customHeight="1">
      <c r="A40" s="236" t="s">
        <v>724</v>
      </c>
      <c r="B40" s="237">
        <v>57784</v>
      </c>
      <c r="C40" s="237">
        <v>321</v>
      </c>
      <c r="D40" s="237">
        <v>46145</v>
      </c>
      <c r="E40" s="237">
        <v>613</v>
      </c>
    </row>
    <row r="41" spans="1:5" ht="32.1" customHeight="1">
      <c r="A41" s="236" t="s">
        <v>658</v>
      </c>
      <c r="B41" s="237">
        <v>189504</v>
      </c>
      <c r="C41" s="237">
        <v>1128</v>
      </c>
      <c r="D41" s="237">
        <v>124541</v>
      </c>
      <c r="E41" s="237">
        <v>2632</v>
      </c>
    </row>
    <row r="42" spans="1:5" ht="32.1" customHeight="1">
      <c r="A42" s="236" t="s">
        <v>659</v>
      </c>
      <c r="B42" s="237">
        <v>386095</v>
      </c>
      <c r="C42" s="237">
        <v>2240</v>
      </c>
      <c r="D42" s="237">
        <v>289017</v>
      </c>
      <c r="E42" s="237">
        <v>3961</v>
      </c>
    </row>
    <row r="43" spans="1:5" ht="32.1" customHeight="1">
      <c r="A43" s="236" t="s">
        <v>660</v>
      </c>
      <c r="B43" s="237">
        <v>683937</v>
      </c>
      <c r="C43" s="237">
        <v>3480</v>
      </c>
      <c r="D43" s="237">
        <v>475271</v>
      </c>
      <c r="E43" s="237">
        <v>7761</v>
      </c>
    </row>
    <row r="44" spans="1:5" ht="32.1" customHeight="1">
      <c r="A44" s="236" t="s">
        <v>739</v>
      </c>
      <c r="B44" s="237">
        <v>109410</v>
      </c>
      <c r="C44" s="237">
        <v>628</v>
      </c>
      <c r="D44" s="237">
        <v>96961</v>
      </c>
      <c r="E44" s="237">
        <v>981</v>
      </c>
    </row>
    <row r="45" spans="1:5" ht="32.1" customHeight="1">
      <c r="A45" s="236" t="s">
        <v>770</v>
      </c>
      <c r="B45" s="237">
        <v>69948</v>
      </c>
      <c r="C45" s="237">
        <v>174</v>
      </c>
      <c r="D45" s="237">
        <v>51018</v>
      </c>
      <c r="E45" s="237">
        <v>1258</v>
      </c>
    </row>
    <row r="46" spans="1:5" ht="32.1" customHeight="1">
      <c r="A46" s="236" t="s">
        <v>662</v>
      </c>
      <c r="B46" s="237">
        <v>223272</v>
      </c>
      <c r="C46" s="237">
        <v>1507</v>
      </c>
      <c r="D46" s="237">
        <v>138135</v>
      </c>
      <c r="E46" s="237">
        <v>922</v>
      </c>
    </row>
    <row r="47" spans="1:5" ht="32.1" customHeight="1">
      <c r="A47" s="236" t="s">
        <v>664</v>
      </c>
      <c r="B47" s="237">
        <v>0</v>
      </c>
      <c r="C47" s="237">
        <v>2</v>
      </c>
      <c r="D47" s="237">
        <v>0</v>
      </c>
      <c r="E47" s="237">
        <v>226</v>
      </c>
    </row>
    <row r="48" spans="1:5" ht="32.1" customHeight="1">
      <c r="A48" s="236" t="s">
        <v>665</v>
      </c>
      <c r="B48" s="237">
        <v>1036182</v>
      </c>
      <c r="C48" s="237">
        <v>3670</v>
      </c>
      <c r="D48" s="237">
        <v>641548</v>
      </c>
      <c r="E48" s="237">
        <v>29950</v>
      </c>
    </row>
    <row r="49" spans="1:5" ht="32.1" customHeight="1">
      <c r="A49" s="236" t="s">
        <v>771</v>
      </c>
      <c r="B49" s="237">
        <v>114536</v>
      </c>
      <c r="C49" s="237">
        <v>464</v>
      </c>
      <c r="D49" s="237">
        <v>92800</v>
      </c>
      <c r="E49" s="237">
        <v>5591</v>
      </c>
    </row>
    <row r="50" spans="1:5" ht="32.1" customHeight="1">
      <c r="A50" s="236" t="s">
        <v>666</v>
      </c>
      <c r="B50" s="237">
        <v>0</v>
      </c>
      <c r="C50" s="237">
        <v>2</v>
      </c>
      <c r="D50" s="237">
        <v>0</v>
      </c>
      <c r="E50" s="237">
        <v>34</v>
      </c>
    </row>
    <row r="51" spans="1:5" ht="32.1" customHeight="1">
      <c r="A51" s="236" t="s">
        <v>667</v>
      </c>
      <c r="B51" s="237">
        <v>0</v>
      </c>
      <c r="C51" s="237">
        <v>56</v>
      </c>
      <c r="D51" s="237">
        <v>0</v>
      </c>
      <c r="E51" s="237">
        <v>1128</v>
      </c>
    </row>
    <row r="52" spans="1:5" ht="32.1" customHeight="1">
      <c r="A52" s="236" t="s">
        <v>668</v>
      </c>
      <c r="B52" s="237">
        <v>0</v>
      </c>
      <c r="C52" s="237">
        <v>196</v>
      </c>
      <c r="D52" s="237">
        <v>0</v>
      </c>
      <c r="E52" s="237">
        <v>2537</v>
      </c>
    </row>
    <row r="53" spans="1:5" ht="32.1" customHeight="1">
      <c r="A53" s="236" t="s">
        <v>669</v>
      </c>
      <c r="B53" s="237">
        <v>0</v>
      </c>
      <c r="C53" s="237">
        <v>7</v>
      </c>
      <c r="D53" s="237">
        <v>0</v>
      </c>
      <c r="E53" s="237">
        <v>542</v>
      </c>
    </row>
    <row r="54" spans="1:5" ht="32.1" customHeight="1">
      <c r="A54" s="236" t="s">
        <v>671</v>
      </c>
      <c r="B54" s="237">
        <v>944</v>
      </c>
      <c r="C54" s="237">
        <v>6</v>
      </c>
      <c r="D54" s="237">
        <v>539</v>
      </c>
      <c r="E54" s="237">
        <v>5</v>
      </c>
    </row>
    <row r="55" spans="1:5" ht="32.1" customHeight="1">
      <c r="A55" s="236" t="s">
        <v>672</v>
      </c>
      <c r="B55" s="237">
        <v>0</v>
      </c>
      <c r="C55" s="237">
        <v>302</v>
      </c>
      <c r="D55" s="237">
        <v>0</v>
      </c>
      <c r="E55" s="237">
        <v>2015</v>
      </c>
    </row>
    <row r="56" spans="1:5" ht="32.1" customHeight="1">
      <c r="A56" s="236" t="s">
        <v>673</v>
      </c>
      <c r="B56" s="237">
        <v>375690</v>
      </c>
      <c r="C56" s="237">
        <v>816</v>
      </c>
      <c r="D56" s="237">
        <v>292744</v>
      </c>
      <c r="E56" s="237">
        <v>15810</v>
      </c>
    </row>
    <row r="57" spans="1:5" ht="32.1" customHeight="1">
      <c r="A57" s="236" t="s">
        <v>674</v>
      </c>
      <c r="B57" s="237">
        <v>381286</v>
      </c>
      <c r="C57" s="237">
        <v>1652</v>
      </c>
      <c r="D57" s="237">
        <v>319705</v>
      </c>
      <c r="E57" s="237">
        <v>12218</v>
      </c>
    </row>
    <row r="58" spans="1:5" ht="32.1" customHeight="1">
      <c r="A58" s="236" t="s">
        <v>675</v>
      </c>
      <c r="B58" s="237">
        <v>0</v>
      </c>
      <c r="C58" s="237">
        <v>22</v>
      </c>
      <c r="D58" s="237">
        <v>0</v>
      </c>
      <c r="E58" s="237">
        <v>759</v>
      </c>
    </row>
    <row r="59" spans="1:5" ht="32.1" customHeight="1">
      <c r="A59" s="236" t="s">
        <v>726</v>
      </c>
      <c r="B59" s="237">
        <v>0</v>
      </c>
      <c r="C59" s="237">
        <v>498</v>
      </c>
      <c r="D59" s="237">
        <v>0</v>
      </c>
      <c r="E59" s="237">
        <v>9474</v>
      </c>
    </row>
    <row r="60" spans="1:5" ht="32.1" customHeight="1">
      <c r="A60" s="236" t="s">
        <v>676</v>
      </c>
      <c r="B60" s="237">
        <v>146120</v>
      </c>
      <c r="C60" s="237">
        <v>890</v>
      </c>
      <c r="D60" s="237">
        <v>115032</v>
      </c>
      <c r="E60" s="237">
        <v>2463</v>
      </c>
    </row>
    <row r="61" spans="1:5" ht="32.1" customHeight="1">
      <c r="A61" s="236" t="s">
        <v>677</v>
      </c>
      <c r="B61" s="237">
        <v>0</v>
      </c>
      <c r="C61" s="237">
        <v>172</v>
      </c>
      <c r="D61" s="237">
        <v>0</v>
      </c>
      <c r="E61" s="237">
        <v>4525</v>
      </c>
    </row>
    <row r="62" spans="1:5" ht="32.1" customHeight="1">
      <c r="A62" s="236" t="s">
        <v>753</v>
      </c>
      <c r="B62" s="237">
        <v>6004</v>
      </c>
      <c r="C62" s="237">
        <v>38</v>
      </c>
      <c r="D62" s="237">
        <v>2827</v>
      </c>
      <c r="E62" s="237">
        <v>83</v>
      </c>
    </row>
    <row r="63" spans="1:5" ht="32.1" customHeight="1">
      <c r="A63" s="236" t="s">
        <v>679</v>
      </c>
      <c r="B63" s="237">
        <v>39652</v>
      </c>
      <c r="C63" s="237">
        <v>208</v>
      </c>
      <c r="D63" s="237">
        <v>25370</v>
      </c>
      <c r="E63" s="237">
        <v>866</v>
      </c>
    </row>
    <row r="64" spans="1:5" ht="32.1" customHeight="1">
      <c r="A64" s="236" t="s">
        <v>754</v>
      </c>
      <c r="B64" s="237">
        <v>94680</v>
      </c>
      <c r="C64" s="237">
        <v>526</v>
      </c>
      <c r="D64" s="237">
        <v>49803</v>
      </c>
      <c r="E64" s="237">
        <v>359</v>
      </c>
    </row>
    <row r="65" spans="1:5" ht="32.1" customHeight="1">
      <c r="A65" s="236" t="s">
        <v>727</v>
      </c>
      <c r="B65" s="237">
        <v>346840</v>
      </c>
      <c r="C65" s="237">
        <v>920</v>
      </c>
      <c r="D65" s="237">
        <v>280165</v>
      </c>
      <c r="E65" s="237">
        <v>8142</v>
      </c>
    </row>
    <row r="66" spans="1:5" ht="32.1" customHeight="1">
      <c r="A66" s="236" t="s">
        <v>728</v>
      </c>
      <c r="B66" s="237">
        <v>0</v>
      </c>
      <c r="C66" s="237">
        <v>1262</v>
      </c>
      <c r="D66" s="237">
        <v>0</v>
      </c>
      <c r="E66" s="237">
        <v>39036</v>
      </c>
    </row>
    <row r="67" spans="1:5" ht="32.1" customHeight="1">
      <c r="A67" s="236" t="s">
        <v>680</v>
      </c>
      <c r="B67" s="237">
        <v>55472</v>
      </c>
      <c r="C67" s="237">
        <v>208</v>
      </c>
      <c r="D67" s="237">
        <v>42526</v>
      </c>
      <c r="E67" s="237">
        <v>1666</v>
      </c>
    </row>
    <row r="68" spans="1:5" ht="32.1" customHeight="1">
      <c r="A68" s="236" t="s">
        <v>681</v>
      </c>
      <c r="B68" s="237">
        <v>167310</v>
      </c>
      <c r="C68" s="237">
        <v>710</v>
      </c>
      <c r="D68" s="237">
        <v>148216</v>
      </c>
      <c r="E68" s="237">
        <v>7393</v>
      </c>
    </row>
    <row r="69" spans="1:5" ht="32.1" customHeight="1">
      <c r="A69" s="236" t="s">
        <v>682</v>
      </c>
      <c r="B69" s="237">
        <v>0</v>
      </c>
      <c r="C69" s="237">
        <v>620</v>
      </c>
      <c r="D69" s="237">
        <v>0</v>
      </c>
      <c r="E69" s="237">
        <v>20680</v>
      </c>
    </row>
    <row r="70" spans="1:5" ht="32.1" customHeight="1">
      <c r="A70" s="236" t="s">
        <v>772</v>
      </c>
      <c r="B70" s="237">
        <v>52318</v>
      </c>
      <c r="C70" s="237">
        <v>224</v>
      </c>
      <c r="D70" s="237">
        <v>12927</v>
      </c>
      <c r="E70" s="237">
        <v>489</v>
      </c>
    </row>
    <row r="71" spans="1:5" ht="32.1" customHeight="1">
      <c r="A71" s="236" t="s">
        <v>729</v>
      </c>
      <c r="B71" s="237">
        <v>182814</v>
      </c>
      <c r="C71" s="237">
        <v>729</v>
      </c>
      <c r="D71" s="237">
        <v>145806</v>
      </c>
      <c r="E71" s="237">
        <v>10535</v>
      </c>
    </row>
    <row r="72" spans="1:5" ht="32.1" customHeight="1">
      <c r="A72" s="236" t="s">
        <v>683</v>
      </c>
      <c r="B72" s="237">
        <v>276</v>
      </c>
      <c r="C72" s="237">
        <v>2</v>
      </c>
      <c r="D72" s="237">
        <v>239</v>
      </c>
      <c r="E72" s="237">
        <v>0</v>
      </c>
    </row>
    <row r="73" spans="1:5" ht="32.1" customHeight="1">
      <c r="A73" s="236" t="s">
        <v>755</v>
      </c>
      <c r="B73" s="237">
        <v>135344</v>
      </c>
      <c r="C73" s="237">
        <v>615</v>
      </c>
      <c r="D73" s="237">
        <v>104677</v>
      </c>
      <c r="E73" s="237">
        <v>8584</v>
      </c>
    </row>
    <row r="74" spans="1:5" ht="32.1" customHeight="1">
      <c r="A74" s="236" t="s">
        <v>684</v>
      </c>
      <c r="B74" s="237">
        <v>57332</v>
      </c>
      <c r="C74" s="237">
        <v>532</v>
      </c>
      <c r="D74" s="237">
        <v>35236</v>
      </c>
      <c r="E74" s="237">
        <v>863</v>
      </c>
    </row>
    <row r="75" spans="1:5" ht="32.1" customHeight="1">
      <c r="A75" s="236" t="s">
        <v>685</v>
      </c>
      <c r="B75" s="237">
        <v>49312</v>
      </c>
      <c r="C75" s="237">
        <v>206</v>
      </c>
      <c r="D75" s="237">
        <v>36333</v>
      </c>
      <c r="E75" s="237">
        <v>1253</v>
      </c>
    </row>
    <row r="76" spans="1:5" ht="32.1" customHeight="1">
      <c r="A76" s="236" t="s">
        <v>773</v>
      </c>
      <c r="B76" s="237">
        <v>0</v>
      </c>
      <c r="C76" s="237">
        <v>1</v>
      </c>
      <c r="D76" s="237">
        <v>0</v>
      </c>
      <c r="E76" s="237">
        <v>0</v>
      </c>
    </row>
    <row r="77" spans="1:5" ht="32.1" customHeight="1">
      <c r="A77" s="236" t="s">
        <v>756</v>
      </c>
      <c r="B77" s="237">
        <v>29563</v>
      </c>
      <c r="C77" s="237">
        <v>179</v>
      </c>
      <c r="D77" s="237">
        <v>20761</v>
      </c>
      <c r="E77" s="237">
        <v>311</v>
      </c>
    </row>
    <row r="78" spans="1:5" ht="32.1" customHeight="1">
      <c r="A78" s="236" t="s">
        <v>686</v>
      </c>
      <c r="B78" s="237">
        <v>0</v>
      </c>
      <c r="C78" s="237">
        <v>2</v>
      </c>
      <c r="D78" s="237">
        <v>0</v>
      </c>
      <c r="E78" s="237">
        <v>68</v>
      </c>
    </row>
    <row r="79" spans="1:5" ht="32.1" customHeight="1">
      <c r="A79" s="236" t="s">
        <v>687</v>
      </c>
      <c r="B79" s="237">
        <v>465747</v>
      </c>
      <c r="C79" s="237">
        <v>1436</v>
      </c>
      <c r="D79" s="237">
        <v>384232</v>
      </c>
      <c r="E79" s="237">
        <v>13983</v>
      </c>
    </row>
    <row r="80" spans="1:5" ht="32.1" customHeight="1">
      <c r="A80" s="236" t="s">
        <v>688</v>
      </c>
      <c r="B80" s="237">
        <v>6054</v>
      </c>
      <c r="C80" s="237">
        <v>38</v>
      </c>
      <c r="D80" s="237">
        <v>4630</v>
      </c>
      <c r="E80" s="237">
        <v>79</v>
      </c>
    </row>
    <row r="81" spans="1:5" ht="32.1" customHeight="1">
      <c r="A81" s="236" t="s">
        <v>689</v>
      </c>
      <c r="B81" s="237">
        <v>0</v>
      </c>
      <c r="C81" s="237">
        <v>3977</v>
      </c>
      <c r="D81" s="237">
        <v>0</v>
      </c>
      <c r="E81" s="237">
        <v>46577</v>
      </c>
    </row>
    <row r="82" spans="1:5" ht="32.1" customHeight="1">
      <c r="A82" s="236" t="s">
        <v>774</v>
      </c>
      <c r="B82" s="237">
        <v>247</v>
      </c>
      <c r="C82" s="237">
        <v>1</v>
      </c>
      <c r="D82" s="237">
        <v>67</v>
      </c>
      <c r="E82" s="237">
        <v>2</v>
      </c>
    </row>
    <row r="83" spans="1:5" ht="32.1" customHeight="1">
      <c r="A83" s="236" t="s">
        <v>731</v>
      </c>
      <c r="B83" s="237">
        <v>102316</v>
      </c>
      <c r="C83" s="237">
        <v>418</v>
      </c>
      <c r="D83" s="237">
        <v>68953</v>
      </c>
      <c r="E83" s="237">
        <v>2089</v>
      </c>
    </row>
    <row r="84" spans="1:5" ht="32.1" customHeight="1">
      <c r="A84" s="236" t="s">
        <v>692</v>
      </c>
      <c r="B84" s="237">
        <v>1237370</v>
      </c>
      <c r="C84" s="237">
        <v>6014</v>
      </c>
      <c r="D84" s="237">
        <v>1004584</v>
      </c>
      <c r="E84" s="237">
        <v>25908</v>
      </c>
    </row>
    <row r="85" spans="1:5" ht="32.1" customHeight="1">
      <c r="A85" s="236" t="s">
        <v>693</v>
      </c>
      <c r="B85" s="237">
        <v>0</v>
      </c>
      <c r="C85" s="237">
        <v>259</v>
      </c>
      <c r="D85" s="237">
        <v>0</v>
      </c>
      <c r="E85" s="237">
        <v>5912</v>
      </c>
    </row>
    <row r="86" spans="1:5" ht="32.1" customHeight="1">
      <c r="A86" s="236" t="s">
        <v>694</v>
      </c>
      <c r="B86" s="237">
        <v>663024</v>
      </c>
      <c r="C86" s="237">
        <v>2484</v>
      </c>
      <c r="D86" s="237">
        <v>490122</v>
      </c>
      <c r="E86" s="237">
        <v>9023</v>
      </c>
    </row>
    <row r="87" spans="1:5" ht="32.1" customHeight="1">
      <c r="A87" s="236" t="s">
        <v>775</v>
      </c>
      <c r="B87" s="237">
        <v>14335</v>
      </c>
      <c r="C87" s="237">
        <v>62</v>
      </c>
      <c r="D87" s="237">
        <v>11101</v>
      </c>
      <c r="E87" s="237">
        <v>137</v>
      </c>
    </row>
    <row r="88" spans="1:5" ht="32.1" customHeight="1">
      <c r="A88" s="236" t="s">
        <v>696</v>
      </c>
      <c r="B88" s="237">
        <v>1325001</v>
      </c>
      <c r="C88" s="237">
        <v>7646</v>
      </c>
      <c r="D88" s="237">
        <v>1044181</v>
      </c>
      <c r="E88" s="237">
        <v>23284</v>
      </c>
    </row>
    <row r="89" spans="1:5" ht="32.1" customHeight="1">
      <c r="A89" s="236" t="s">
        <v>776</v>
      </c>
      <c r="B89" s="237">
        <v>86302</v>
      </c>
      <c r="C89" s="237">
        <v>547</v>
      </c>
      <c r="D89" s="237">
        <v>64016</v>
      </c>
      <c r="E89" s="237">
        <v>602</v>
      </c>
    </row>
    <row r="90" spans="1:5" ht="32.1" customHeight="1">
      <c r="A90" s="236" t="s">
        <v>697</v>
      </c>
      <c r="B90" s="237">
        <v>2124294</v>
      </c>
      <c r="C90" s="237">
        <v>12592</v>
      </c>
      <c r="D90" s="237">
        <v>1607607</v>
      </c>
      <c r="E90" s="237">
        <v>32849</v>
      </c>
    </row>
    <row r="91" spans="1:5" ht="32.1" customHeight="1">
      <c r="A91" s="236" t="s">
        <v>698</v>
      </c>
      <c r="B91" s="237">
        <v>2244715</v>
      </c>
      <c r="C91" s="237">
        <v>12896</v>
      </c>
      <c r="D91" s="237">
        <v>1699147</v>
      </c>
      <c r="E91" s="237">
        <v>34015</v>
      </c>
    </row>
    <row r="92" spans="1:5" ht="32.1" customHeight="1">
      <c r="A92" s="236" t="s">
        <v>777</v>
      </c>
      <c r="B92" s="237">
        <v>0</v>
      </c>
      <c r="C92" s="237">
        <v>20</v>
      </c>
      <c r="D92" s="237">
        <v>0</v>
      </c>
      <c r="E92" s="237">
        <v>38</v>
      </c>
    </row>
    <row r="93" spans="1:5" ht="32.1" customHeight="1">
      <c r="A93" s="236" t="s">
        <v>699</v>
      </c>
      <c r="B93" s="237">
        <v>122102</v>
      </c>
      <c r="C93" s="237">
        <v>728</v>
      </c>
      <c r="D93" s="237">
        <v>99117</v>
      </c>
      <c r="E93" s="237">
        <v>2388</v>
      </c>
    </row>
    <row r="94" spans="1:5" ht="32.1" customHeight="1">
      <c r="A94" s="236" t="s">
        <v>700</v>
      </c>
      <c r="B94" s="237">
        <v>0</v>
      </c>
      <c r="C94" s="237">
        <v>604</v>
      </c>
      <c r="D94" s="237">
        <v>0</v>
      </c>
      <c r="E94" s="237">
        <v>4466</v>
      </c>
    </row>
    <row r="95" spans="1:5" ht="32.1" customHeight="1">
      <c r="A95" s="236" t="s">
        <v>701</v>
      </c>
      <c r="B95" s="237">
        <v>80282</v>
      </c>
      <c r="C95" s="237">
        <v>479</v>
      </c>
      <c r="D95" s="237">
        <v>59451</v>
      </c>
      <c r="E95" s="237">
        <v>1240</v>
      </c>
    </row>
    <row r="96" spans="1:5" ht="32.1" customHeight="1">
      <c r="A96" s="236" t="s">
        <v>702</v>
      </c>
      <c r="B96" s="237">
        <v>0</v>
      </c>
      <c r="C96" s="237">
        <v>590</v>
      </c>
      <c r="D96" s="237">
        <v>0</v>
      </c>
      <c r="E96" s="237">
        <v>35199</v>
      </c>
    </row>
    <row r="97" spans="1:5" ht="32.1" customHeight="1">
      <c r="A97" s="236" t="s">
        <v>703</v>
      </c>
      <c r="B97" s="237">
        <v>391705</v>
      </c>
      <c r="C97" s="237">
        <v>1722</v>
      </c>
      <c r="D97" s="237">
        <v>312257</v>
      </c>
      <c r="E97" s="237">
        <v>10917</v>
      </c>
    </row>
    <row r="98" spans="1:5" ht="32.1" customHeight="1">
      <c r="A98" s="236" t="s">
        <v>757</v>
      </c>
      <c r="B98" s="237">
        <v>131176</v>
      </c>
      <c r="C98" s="237">
        <v>869</v>
      </c>
      <c r="D98" s="237">
        <v>105244</v>
      </c>
      <c r="E98" s="237">
        <v>1254</v>
      </c>
    </row>
    <row r="99" spans="1:5" ht="32.1" customHeight="1">
      <c r="A99" s="236" t="s">
        <v>778</v>
      </c>
      <c r="B99" s="237">
        <v>48024</v>
      </c>
      <c r="C99" s="237">
        <v>174</v>
      </c>
      <c r="D99" s="237">
        <v>34500</v>
      </c>
      <c r="E99" s="237">
        <v>1619</v>
      </c>
    </row>
    <row r="100" spans="1:5" ht="32.1" customHeight="1">
      <c r="A100" s="236" t="s">
        <v>779</v>
      </c>
      <c r="B100" s="237">
        <v>36006</v>
      </c>
      <c r="C100" s="237">
        <v>200</v>
      </c>
      <c r="D100" s="237">
        <v>27611</v>
      </c>
      <c r="E100" s="237">
        <v>243</v>
      </c>
    </row>
    <row r="101" spans="1:5" ht="32.1" customHeight="1">
      <c r="A101" s="236" t="s">
        <v>704</v>
      </c>
      <c r="B101" s="237">
        <v>0</v>
      </c>
      <c r="C101" s="237">
        <v>302</v>
      </c>
      <c r="D101" s="237">
        <v>0</v>
      </c>
      <c r="E101" s="237">
        <v>14485</v>
      </c>
    </row>
    <row r="102" spans="1:5" ht="32.1" customHeight="1">
      <c r="A102" s="236" t="s">
        <v>705</v>
      </c>
      <c r="B102" s="237">
        <v>233077</v>
      </c>
      <c r="C102" s="237">
        <v>948</v>
      </c>
      <c r="D102" s="237">
        <v>186509</v>
      </c>
      <c r="E102" s="237">
        <v>26618</v>
      </c>
    </row>
    <row r="103" spans="1:5" ht="32.1" customHeight="1">
      <c r="A103" s="236" t="s">
        <v>706</v>
      </c>
      <c r="B103" s="237">
        <v>0</v>
      </c>
      <c r="C103" s="237">
        <v>5</v>
      </c>
      <c r="D103" s="237">
        <v>0</v>
      </c>
      <c r="E103" s="237">
        <v>96</v>
      </c>
    </row>
    <row r="104" spans="1:5" ht="32.1" customHeight="1">
      <c r="A104" s="236" t="s">
        <v>707</v>
      </c>
      <c r="B104" s="237">
        <v>1254921</v>
      </c>
      <c r="C104" s="237">
        <v>4323</v>
      </c>
      <c r="D104" s="237">
        <v>1024227</v>
      </c>
      <c r="E104" s="237">
        <v>50251</v>
      </c>
    </row>
    <row r="105" spans="1:5" ht="32.1" customHeight="1">
      <c r="A105" s="236" t="s">
        <v>708</v>
      </c>
      <c r="B105" s="237">
        <v>190359</v>
      </c>
      <c r="C105" s="237">
        <v>1097</v>
      </c>
      <c r="D105" s="237">
        <v>139980</v>
      </c>
      <c r="E105" s="237">
        <v>2129</v>
      </c>
    </row>
    <row r="106" spans="1:5" ht="32.1" customHeight="1">
      <c r="A106" s="236" t="s">
        <v>709</v>
      </c>
      <c r="B106" s="237">
        <v>1666904</v>
      </c>
      <c r="C106" s="237">
        <v>4886</v>
      </c>
      <c r="D106" s="237">
        <v>1013805</v>
      </c>
      <c r="E106" s="237">
        <v>39324</v>
      </c>
    </row>
    <row r="107" spans="1:5" ht="32.1" customHeight="1">
      <c r="A107" s="236" t="s">
        <v>710</v>
      </c>
      <c r="B107" s="237">
        <v>203896</v>
      </c>
      <c r="C107" s="237">
        <v>926</v>
      </c>
      <c r="D107" s="237">
        <v>173886</v>
      </c>
      <c r="E107" s="237">
        <v>14812</v>
      </c>
    </row>
    <row r="108" spans="1:5" ht="32.1" customHeight="1">
      <c r="A108" s="236" t="s">
        <v>744</v>
      </c>
      <c r="B108" s="237">
        <v>20188</v>
      </c>
      <c r="C108" s="237">
        <v>104</v>
      </c>
      <c r="D108" s="237">
        <v>18334</v>
      </c>
      <c r="E108" s="237">
        <v>282</v>
      </c>
    </row>
    <row r="109" spans="1:5" ht="32.1" customHeight="1">
      <c r="A109" s="236" t="s">
        <v>712</v>
      </c>
      <c r="B109" s="237">
        <v>0</v>
      </c>
      <c r="C109" s="237">
        <v>2493</v>
      </c>
      <c r="D109" s="237">
        <v>0</v>
      </c>
      <c r="E109" s="237">
        <v>54183</v>
      </c>
    </row>
    <row r="110" spans="1:5" ht="32.1" customHeight="1">
      <c r="A110" s="236" t="s">
        <v>713</v>
      </c>
      <c r="B110" s="237">
        <v>0</v>
      </c>
      <c r="C110" s="237">
        <v>2797</v>
      </c>
      <c r="D110" s="237">
        <v>0</v>
      </c>
      <c r="E110" s="237">
        <v>59191</v>
      </c>
    </row>
    <row r="111" spans="1:5" ht="32.1" customHeight="1">
      <c r="A111" s="236" t="s">
        <v>714</v>
      </c>
      <c r="B111" s="237">
        <v>0</v>
      </c>
      <c r="C111" s="237">
        <v>12</v>
      </c>
      <c r="D111" s="237">
        <v>0</v>
      </c>
      <c r="E111" s="237">
        <v>422</v>
      </c>
    </row>
    <row r="112" spans="1:5" ht="32.1" customHeight="1">
      <c r="A112" s="236" t="s">
        <v>715</v>
      </c>
      <c r="B112" s="237">
        <v>224496</v>
      </c>
      <c r="C112" s="237">
        <v>834</v>
      </c>
      <c r="D112" s="237">
        <v>178697</v>
      </c>
      <c r="E112" s="237">
        <v>20372</v>
      </c>
    </row>
    <row r="113" spans="1:5" ht="32.1" customHeight="1">
      <c r="A113" s="236" t="s">
        <v>759</v>
      </c>
      <c r="B113" s="237">
        <v>426240</v>
      </c>
      <c r="C113" s="237">
        <v>2368</v>
      </c>
      <c r="D113" s="237">
        <v>361624</v>
      </c>
      <c r="E113" s="237">
        <v>2068</v>
      </c>
    </row>
    <row r="114" spans="1:5" ht="32.1" customHeight="1">
      <c r="A114" s="236" t="s">
        <v>716</v>
      </c>
      <c r="B114" s="237">
        <v>168086</v>
      </c>
      <c r="C114" s="237">
        <v>612</v>
      </c>
      <c r="D114" s="237">
        <v>134999</v>
      </c>
      <c r="E114" s="237">
        <v>9667</v>
      </c>
    </row>
    <row r="115" spans="1:5" ht="32.1" customHeight="1">
      <c r="A115" s="236" t="s">
        <v>717</v>
      </c>
      <c r="B115" s="237">
        <v>554660</v>
      </c>
      <c r="C115" s="237">
        <v>3126</v>
      </c>
      <c r="D115" s="237">
        <v>408340</v>
      </c>
      <c r="E115" s="237">
        <v>4720</v>
      </c>
    </row>
    <row r="116" spans="1:5" ht="32.1" customHeight="1">
      <c r="A116" s="236" t="s">
        <v>718</v>
      </c>
      <c r="B116" s="237">
        <v>677467</v>
      </c>
      <c r="C116" s="237">
        <v>3227</v>
      </c>
      <c r="D116" s="237">
        <v>519531</v>
      </c>
      <c r="E116" s="237">
        <v>13600</v>
      </c>
    </row>
    <row r="117" spans="1:5" ht="32.1" customHeight="1">
      <c r="A117" s="236" t="s">
        <v>745</v>
      </c>
      <c r="B117" s="237">
        <v>189364</v>
      </c>
      <c r="C117" s="237">
        <v>730</v>
      </c>
      <c r="D117" s="237">
        <v>142423</v>
      </c>
      <c r="E117" s="237">
        <v>4771</v>
      </c>
    </row>
    <row r="118" spans="1:5" ht="32.1" customHeight="1">
      <c r="A118" s="236" t="s">
        <v>719</v>
      </c>
      <c r="B118" s="237">
        <v>37952</v>
      </c>
      <c r="C118" s="237">
        <v>226</v>
      </c>
      <c r="D118" s="237">
        <v>25644</v>
      </c>
      <c r="E118" s="237">
        <v>313</v>
      </c>
    </row>
    <row r="119" spans="1:5" ht="32.1" customHeight="1">
      <c r="A119" s="236" t="s">
        <v>720</v>
      </c>
      <c r="B119" s="237">
        <v>17384</v>
      </c>
      <c r="C119" s="237">
        <v>108</v>
      </c>
      <c r="D119" s="237">
        <v>12213</v>
      </c>
      <c r="E119" s="237">
        <v>112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0870F-9FCA-4D70-93AB-21689663E2C2}">
  <dimension ref="A1:E117"/>
  <sheetViews>
    <sheetView workbookViewId="0">
      <selection sqref="A1:E1"/>
    </sheetView>
  </sheetViews>
  <sheetFormatPr defaultColWidth="9" defaultRowHeight="16.5"/>
  <cols>
    <col min="1" max="1" width="48.5" style="14" customWidth="1"/>
    <col min="2" max="3" width="28.375" style="14" customWidth="1"/>
    <col min="4" max="5" width="28.5" style="14" customWidth="1"/>
    <col min="6" max="16384" width="9" style="14"/>
  </cols>
  <sheetData>
    <row r="1" spans="1:5" ht="33.950000000000003" customHeight="1">
      <c r="A1" s="435" t="s">
        <v>780</v>
      </c>
      <c r="B1" s="436"/>
      <c r="C1" s="436"/>
      <c r="D1" s="436"/>
      <c r="E1" s="436"/>
    </row>
    <row r="2" spans="1:5" ht="36.950000000000003" customHeight="1">
      <c r="A2" s="235" t="s">
        <v>624</v>
      </c>
      <c r="B2" s="235" t="s">
        <v>625</v>
      </c>
      <c r="C2" s="235" t="s">
        <v>626</v>
      </c>
      <c r="D2" s="235" t="s">
        <v>340</v>
      </c>
      <c r="E2" s="235" t="s">
        <v>342</v>
      </c>
    </row>
    <row r="3" spans="1:5" ht="32.1" customHeight="1">
      <c r="A3" s="236" t="s">
        <v>627</v>
      </c>
      <c r="B3" s="237">
        <v>104829020</v>
      </c>
      <c r="C3" s="237">
        <v>536586</v>
      </c>
      <c r="D3" s="237">
        <v>82133482</v>
      </c>
      <c r="E3" s="237">
        <v>3693861</v>
      </c>
    </row>
    <row r="4" spans="1:5" ht="32.1" customHeight="1">
      <c r="A4" s="236" t="s">
        <v>628</v>
      </c>
      <c r="B4" s="237">
        <v>77209328</v>
      </c>
      <c r="C4" s="237">
        <v>391048</v>
      </c>
      <c r="D4" s="237">
        <v>60788552</v>
      </c>
      <c r="E4" s="237">
        <v>2658483</v>
      </c>
    </row>
    <row r="5" spans="1:5" ht="32.1" customHeight="1">
      <c r="A5" s="236" t="s">
        <v>629</v>
      </c>
      <c r="B5" s="237">
        <v>32359474</v>
      </c>
      <c r="C5" s="237">
        <v>153299</v>
      </c>
      <c r="D5" s="237">
        <v>23681776</v>
      </c>
      <c r="E5" s="237">
        <v>1618992</v>
      </c>
    </row>
    <row r="6" spans="1:5" ht="32.1" customHeight="1">
      <c r="A6" s="236" t="s">
        <v>630</v>
      </c>
      <c r="B6" s="237">
        <v>22720554</v>
      </c>
      <c r="C6" s="237">
        <v>113606</v>
      </c>
      <c r="D6" s="237">
        <v>17857985</v>
      </c>
      <c r="E6" s="237">
        <v>880280</v>
      </c>
    </row>
    <row r="7" spans="1:5" ht="32.1" customHeight="1">
      <c r="A7" s="236" t="s">
        <v>631</v>
      </c>
      <c r="B7" s="237">
        <v>6317529</v>
      </c>
      <c r="C7" s="237">
        <v>33661</v>
      </c>
      <c r="D7" s="237">
        <v>5624151</v>
      </c>
      <c r="E7" s="237">
        <v>47474</v>
      </c>
    </row>
    <row r="8" spans="1:5" ht="32.1" customHeight="1">
      <c r="A8" s="236" t="s">
        <v>632</v>
      </c>
      <c r="B8" s="237">
        <v>4079390</v>
      </c>
      <c r="C8" s="237">
        <v>21788</v>
      </c>
      <c r="D8" s="237">
        <v>3641209</v>
      </c>
      <c r="E8" s="237">
        <v>31985</v>
      </c>
    </row>
    <row r="9" spans="1:5" ht="32.1" customHeight="1">
      <c r="A9" s="236" t="s">
        <v>633</v>
      </c>
      <c r="B9" s="237">
        <v>5222666</v>
      </c>
      <c r="C9" s="237">
        <v>30360</v>
      </c>
      <c r="D9" s="237">
        <v>4161565</v>
      </c>
      <c r="E9" s="237">
        <v>34851</v>
      </c>
    </row>
    <row r="10" spans="1:5" ht="32.1" customHeight="1">
      <c r="A10" s="236" t="s">
        <v>634</v>
      </c>
      <c r="B10" s="237">
        <v>3217578</v>
      </c>
      <c r="C10" s="237">
        <v>20000</v>
      </c>
      <c r="D10" s="237">
        <v>2910048</v>
      </c>
      <c r="E10" s="237">
        <v>21596</v>
      </c>
    </row>
    <row r="11" spans="1:5" ht="32.1" customHeight="1">
      <c r="A11" s="236" t="s">
        <v>722</v>
      </c>
      <c r="B11" s="237">
        <v>3292137</v>
      </c>
      <c r="C11" s="237">
        <v>17485</v>
      </c>
      <c r="D11" s="237">
        <v>2911818</v>
      </c>
      <c r="E11" s="237">
        <v>18178</v>
      </c>
    </row>
    <row r="12" spans="1:5" ht="32.1" customHeight="1">
      <c r="A12" s="236" t="s">
        <v>762</v>
      </c>
      <c r="B12" s="237">
        <v>0</v>
      </c>
      <c r="C12" s="237">
        <v>849</v>
      </c>
      <c r="D12" s="237">
        <v>0</v>
      </c>
      <c r="E12" s="237">
        <v>5128</v>
      </c>
    </row>
    <row r="13" spans="1:5" ht="32.1" customHeight="1">
      <c r="A13" s="236" t="s">
        <v>635</v>
      </c>
      <c r="B13" s="237">
        <v>27619692</v>
      </c>
      <c r="C13" s="237">
        <v>145538</v>
      </c>
      <c r="D13" s="237">
        <v>21344930</v>
      </c>
      <c r="E13" s="237">
        <v>1035379</v>
      </c>
    </row>
    <row r="14" spans="1:5" ht="32.1" customHeight="1">
      <c r="A14" s="236" t="s">
        <v>723</v>
      </c>
      <c r="B14" s="237">
        <v>0</v>
      </c>
      <c r="C14" s="237">
        <v>1</v>
      </c>
      <c r="D14" s="237">
        <v>0</v>
      </c>
      <c r="E14" s="237">
        <v>40</v>
      </c>
    </row>
    <row r="15" spans="1:5" ht="32.1" customHeight="1">
      <c r="A15" s="236" t="s">
        <v>638</v>
      </c>
      <c r="B15" s="237">
        <v>356108</v>
      </c>
      <c r="C15" s="237">
        <v>1466</v>
      </c>
      <c r="D15" s="237">
        <v>239322</v>
      </c>
      <c r="E15" s="237">
        <v>12511</v>
      </c>
    </row>
    <row r="16" spans="1:5" ht="32.1" customHeight="1">
      <c r="A16" s="236" t="s">
        <v>639</v>
      </c>
      <c r="B16" s="237">
        <v>1186</v>
      </c>
      <c r="C16" s="237">
        <v>14</v>
      </c>
      <c r="D16" s="237">
        <v>526</v>
      </c>
      <c r="E16" s="237">
        <v>14</v>
      </c>
    </row>
    <row r="17" spans="1:5" ht="32.1" customHeight="1">
      <c r="A17" s="236" t="s">
        <v>641</v>
      </c>
      <c r="B17" s="237">
        <v>205828</v>
      </c>
      <c r="C17" s="237">
        <v>728</v>
      </c>
      <c r="D17" s="237">
        <v>179215</v>
      </c>
      <c r="E17" s="237">
        <v>28135</v>
      </c>
    </row>
    <row r="18" spans="1:5" ht="32.1" customHeight="1">
      <c r="A18" s="236" t="s">
        <v>764</v>
      </c>
      <c r="B18" s="237">
        <v>14166</v>
      </c>
      <c r="C18" s="237">
        <v>75</v>
      </c>
      <c r="D18" s="237">
        <v>9142</v>
      </c>
      <c r="E18" s="237">
        <v>121</v>
      </c>
    </row>
    <row r="19" spans="1:5" ht="32.1" customHeight="1">
      <c r="A19" s="236" t="s">
        <v>643</v>
      </c>
      <c r="B19" s="237">
        <v>379248</v>
      </c>
      <c r="C19" s="237">
        <v>1138</v>
      </c>
      <c r="D19" s="237">
        <v>311437</v>
      </c>
      <c r="E19" s="237">
        <v>14420</v>
      </c>
    </row>
    <row r="20" spans="1:5" ht="32.1" customHeight="1">
      <c r="A20" s="236" t="s">
        <v>765</v>
      </c>
      <c r="B20" s="237">
        <v>91454</v>
      </c>
      <c r="C20" s="237">
        <v>639</v>
      </c>
      <c r="D20" s="237">
        <v>59872</v>
      </c>
      <c r="E20" s="237">
        <v>934</v>
      </c>
    </row>
    <row r="21" spans="1:5" ht="32.1" customHeight="1">
      <c r="A21" s="236" t="s">
        <v>645</v>
      </c>
      <c r="B21" s="237">
        <v>242134</v>
      </c>
      <c r="C21" s="237">
        <v>674</v>
      </c>
      <c r="D21" s="237">
        <v>194514</v>
      </c>
      <c r="E21" s="237">
        <v>6101</v>
      </c>
    </row>
    <row r="22" spans="1:5" ht="32.1" customHeight="1">
      <c r="A22" s="236" t="s">
        <v>646</v>
      </c>
      <c r="B22" s="237">
        <v>432181</v>
      </c>
      <c r="C22" s="237">
        <v>1384</v>
      </c>
      <c r="D22" s="237">
        <v>338517</v>
      </c>
      <c r="E22" s="237">
        <v>20842</v>
      </c>
    </row>
    <row r="23" spans="1:5" ht="32.1" customHeight="1">
      <c r="A23" s="236" t="s">
        <v>647</v>
      </c>
      <c r="B23" s="237">
        <v>0</v>
      </c>
      <c r="C23" s="237">
        <v>542</v>
      </c>
      <c r="D23" s="237">
        <v>0</v>
      </c>
      <c r="E23" s="237">
        <v>15579</v>
      </c>
    </row>
    <row r="24" spans="1:5" ht="32.1" customHeight="1">
      <c r="A24" s="236" t="s">
        <v>781</v>
      </c>
      <c r="B24" s="237">
        <v>498</v>
      </c>
      <c r="C24" s="237">
        <v>4</v>
      </c>
      <c r="D24" s="237">
        <v>418</v>
      </c>
      <c r="E24" s="237">
        <v>7</v>
      </c>
    </row>
    <row r="25" spans="1:5" ht="32.1" customHeight="1">
      <c r="A25" s="236" t="s">
        <v>648</v>
      </c>
      <c r="B25" s="237">
        <v>64792</v>
      </c>
      <c r="C25" s="237">
        <v>624</v>
      </c>
      <c r="D25" s="237">
        <v>54538</v>
      </c>
      <c r="E25" s="237">
        <v>827</v>
      </c>
    </row>
    <row r="26" spans="1:5" ht="32.1" customHeight="1">
      <c r="A26" s="236" t="s">
        <v>649</v>
      </c>
      <c r="B26" s="237">
        <v>206898</v>
      </c>
      <c r="C26" s="237">
        <v>734</v>
      </c>
      <c r="D26" s="237">
        <v>175514</v>
      </c>
      <c r="E26" s="237">
        <v>13666</v>
      </c>
    </row>
    <row r="27" spans="1:5" ht="32.1" customHeight="1">
      <c r="A27" s="236" t="s">
        <v>748</v>
      </c>
      <c r="B27" s="237">
        <v>3200</v>
      </c>
      <c r="C27" s="237">
        <v>26</v>
      </c>
      <c r="D27" s="237">
        <v>3081</v>
      </c>
      <c r="E27" s="237">
        <v>39</v>
      </c>
    </row>
    <row r="28" spans="1:5" ht="32.1" customHeight="1">
      <c r="A28" s="236" t="s">
        <v>650</v>
      </c>
      <c r="B28" s="237">
        <v>160610</v>
      </c>
      <c r="C28" s="237">
        <v>692</v>
      </c>
      <c r="D28" s="237">
        <v>127950</v>
      </c>
      <c r="E28" s="237">
        <v>3917</v>
      </c>
    </row>
    <row r="29" spans="1:5" ht="32.1" customHeight="1">
      <c r="A29" s="236" t="s">
        <v>651</v>
      </c>
      <c r="B29" s="237">
        <v>0</v>
      </c>
      <c r="C29" s="237">
        <v>2</v>
      </c>
      <c r="D29" s="237">
        <v>0</v>
      </c>
      <c r="E29" s="237">
        <v>0</v>
      </c>
    </row>
    <row r="30" spans="1:5" ht="32.1" customHeight="1">
      <c r="A30" s="236" t="s">
        <v>782</v>
      </c>
      <c r="B30" s="237">
        <v>13056</v>
      </c>
      <c r="C30" s="237">
        <v>93</v>
      </c>
      <c r="D30" s="237">
        <v>1942</v>
      </c>
      <c r="E30" s="237">
        <v>33</v>
      </c>
    </row>
    <row r="31" spans="1:5" ht="32.1" customHeight="1">
      <c r="A31" s="236" t="s">
        <v>749</v>
      </c>
      <c r="B31" s="237">
        <v>207000</v>
      </c>
      <c r="C31" s="237">
        <v>1150</v>
      </c>
      <c r="D31" s="237">
        <v>155781</v>
      </c>
      <c r="E31" s="237">
        <v>1365</v>
      </c>
    </row>
    <row r="32" spans="1:5" ht="32.1" customHeight="1">
      <c r="A32" s="236" t="s">
        <v>652</v>
      </c>
      <c r="B32" s="237">
        <v>1060704</v>
      </c>
      <c r="C32" s="237">
        <v>5132</v>
      </c>
      <c r="D32" s="237">
        <v>872458</v>
      </c>
      <c r="E32" s="237">
        <v>23934</v>
      </c>
    </row>
    <row r="33" spans="1:5" ht="32.1" customHeight="1">
      <c r="A33" s="236" t="s">
        <v>653</v>
      </c>
      <c r="B33" s="237">
        <v>0</v>
      </c>
      <c r="C33" s="237">
        <v>12</v>
      </c>
      <c r="D33" s="237">
        <v>0</v>
      </c>
      <c r="E33" s="237">
        <v>346</v>
      </c>
    </row>
    <row r="34" spans="1:5" ht="32.1" customHeight="1">
      <c r="A34" s="236" t="s">
        <v>654</v>
      </c>
      <c r="B34" s="237">
        <v>72756</v>
      </c>
      <c r="C34" s="237">
        <v>454</v>
      </c>
      <c r="D34" s="237">
        <v>54367</v>
      </c>
      <c r="E34" s="237">
        <v>641</v>
      </c>
    </row>
    <row r="35" spans="1:5" ht="32.1" customHeight="1">
      <c r="A35" s="236" t="s">
        <v>768</v>
      </c>
      <c r="B35" s="237">
        <v>1218</v>
      </c>
      <c r="C35" s="237">
        <v>8</v>
      </c>
      <c r="D35" s="237">
        <v>1181</v>
      </c>
      <c r="E35" s="237">
        <v>11</v>
      </c>
    </row>
    <row r="36" spans="1:5" ht="32.1" customHeight="1">
      <c r="A36" s="236" t="s">
        <v>769</v>
      </c>
      <c r="B36" s="237">
        <v>108360</v>
      </c>
      <c r="C36" s="237">
        <v>611</v>
      </c>
      <c r="D36" s="237">
        <v>83761</v>
      </c>
      <c r="E36" s="237">
        <v>1062</v>
      </c>
    </row>
    <row r="37" spans="1:5" ht="32.1" customHeight="1">
      <c r="A37" s="236" t="s">
        <v>656</v>
      </c>
      <c r="B37" s="237">
        <v>317816</v>
      </c>
      <c r="C37" s="237">
        <v>1212</v>
      </c>
      <c r="D37" s="237">
        <v>260246</v>
      </c>
      <c r="E37" s="237">
        <v>6627</v>
      </c>
    </row>
    <row r="38" spans="1:5" ht="32.1" customHeight="1">
      <c r="A38" s="236" t="s">
        <v>657</v>
      </c>
      <c r="B38" s="237">
        <v>0</v>
      </c>
      <c r="C38" s="237">
        <v>2</v>
      </c>
      <c r="D38" s="237">
        <v>0</v>
      </c>
      <c r="E38" s="237">
        <v>72</v>
      </c>
    </row>
    <row r="39" spans="1:5" ht="32.1" customHeight="1">
      <c r="A39" s="236" t="s">
        <v>724</v>
      </c>
      <c r="B39" s="237">
        <v>124478</v>
      </c>
      <c r="C39" s="237">
        <v>580</v>
      </c>
      <c r="D39" s="237">
        <v>106787</v>
      </c>
      <c r="E39" s="237">
        <v>1616</v>
      </c>
    </row>
    <row r="40" spans="1:5" ht="32.1" customHeight="1">
      <c r="A40" s="236" t="s">
        <v>658</v>
      </c>
      <c r="B40" s="237">
        <v>491538</v>
      </c>
      <c r="C40" s="237">
        <v>2946</v>
      </c>
      <c r="D40" s="237">
        <v>318017</v>
      </c>
      <c r="E40" s="237">
        <v>6352</v>
      </c>
    </row>
    <row r="41" spans="1:5" ht="32.1" customHeight="1">
      <c r="A41" s="236" t="s">
        <v>659</v>
      </c>
      <c r="B41" s="237">
        <v>475924</v>
      </c>
      <c r="C41" s="237">
        <v>2315</v>
      </c>
      <c r="D41" s="237">
        <v>363685</v>
      </c>
      <c r="E41" s="237">
        <v>5745</v>
      </c>
    </row>
    <row r="42" spans="1:5" ht="32.1" customHeight="1">
      <c r="A42" s="236" t="s">
        <v>660</v>
      </c>
      <c r="B42" s="237">
        <v>632537</v>
      </c>
      <c r="C42" s="237">
        <v>2892</v>
      </c>
      <c r="D42" s="237">
        <v>394344</v>
      </c>
      <c r="E42" s="237">
        <v>7402</v>
      </c>
    </row>
    <row r="43" spans="1:5" ht="32.1" customHeight="1">
      <c r="A43" s="236" t="s">
        <v>739</v>
      </c>
      <c r="B43" s="237">
        <v>102888</v>
      </c>
      <c r="C43" s="237">
        <v>595</v>
      </c>
      <c r="D43" s="237">
        <v>86555</v>
      </c>
      <c r="E43" s="237">
        <v>825</v>
      </c>
    </row>
    <row r="44" spans="1:5" ht="32.1" customHeight="1">
      <c r="A44" s="236" t="s">
        <v>770</v>
      </c>
      <c r="B44" s="237">
        <v>125826</v>
      </c>
      <c r="C44" s="237">
        <v>313</v>
      </c>
      <c r="D44" s="237">
        <v>106582</v>
      </c>
      <c r="E44" s="237">
        <v>2355</v>
      </c>
    </row>
    <row r="45" spans="1:5" ht="32.1" customHeight="1">
      <c r="A45" s="236" t="s">
        <v>662</v>
      </c>
      <c r="B45" s="237">
        <v>62772</v>
      </c>
      <c r="C45" s="237">
        <v>431</v>
      </c>
      <c r="D45" s="237">
        <v>47348</v>
      </c>
      <c r="E45" s="237">
        <v>331</v>
      </c>
    </row>
    <row r="46" spans="1:5" ht="32.1" customHeight="1">
      <c r="A46" s="236" t="s">
        <v>663</v>
      </c>
      <c r="B46" s="237">
        <v>5688</v>
      </c>
      <c r="C46" s="237">
        <v>36</v>
      </c>
      <c r="D46" s="237">
        <v>4597</v>
      </c>
      <c r="E46" s="237">
        <v>59</v>
      </c>
    </row>
    <row r="47" spans="1:5" ht="32.1" customHeight="1">
      <c r="A47" s="236" t="s">
        <v>783</v>
      </c>
      <c r="B47" s="237">
        <v>1296</v>
      </c>
      <c r="C47" s="237">
        <v>8</v>
      </c>
      <c r="D47" s="237">
        <v>1153</v>
      </c>
      <c r="E47" s="237">
        <v>19</v>
      </c>
    </row>
    <row r="48" spans="1:5" ht="32.1" customHeight="1">
      <c r="A48" s="236" t="s">
        <v>784</v>
      </c>
      <c r="B48" s="237">
        <v>0</v>
      </c>
      <c r="C48" s="237">
        <v>45</v>
      </c>
      <c r="D48" s="237">
        <v>0</v>
      </c>
      <c r="E48" s="237">
        <v>1959</v>
      </c>
    </row>
    <row r="49" spans="1:5" ht="32.1" customHeight="1">
      <c r="A49" s="236" t="s">
        <v>664</v>
      </c>
      <c r="B49" s="237">
        <v>0</v>
      </c>
      <c r="C49" s="237">
        <v>4</v>
      </c>
      <c r="D49" s="237">
        <v>0</v>
      </c>
      <c r="E49" s="237">
        <v>80</v>
      </c>
    </row>
    <row r="50" spans="1:5" ht="32.1" customHeight="1">
      <c r="A50" s="236" t="s">
        <v>665</v>
      </c>
      <c r="B50" s="237">
        <v>1055733</v>
      </c>
      <c r="C50" s="237">
        <v>3732</v>
      </c>
      <c r="D50" s="237">
        <v>675396</v>
      </c>
      <c r="E50" s="237">
        <v>31307</v>
      </c>
    </row>
    <row r="51" spans="1:5" ht="32.1" customHeight="1">
      <c r="A51" s="236" t="s">
        <v>771</v>
      </c>
      <c r="B51" s="237">
        <v>177336</v>
      </c>
      <c r="C51" s="237">
        <v>718</v>
      </c>
      <c r="D51" s="237">
        <v>150915</v>
      </c>
      <c r="E51" s="237">
        <v>9967</v>
      </c>
    </row>
    <row r="52" spans="1:5" ht="32.1" customHeight="1">
      <c r="A52" s="236" t="s">
        <v>666</v>
      </c>
      <c r="B52" s="237">
        <v>0</v>
      </c>
      <c r="C52" s="237">
        <v>4</v>
      </c>
      <c r="D52" s="237">
        <v>0</v>
      </c>
      <c r="E52" s="237">
        <v>39</v>
      </c>
    </row>
    <row r="53" spans="1:5" ht="32.1" customHeight="1">
      <c r="A53" s="236" t="s">
        <v>785</v>
      </c>
      <c r="B53" s="237">
        <v>13939</v>
      </c>
      <c r="C53" s="237">
        <v>56</v>
      </c>
      <c r="D53" s="237">
        <v>12456</v>
      </c>
      <c r="E53" s="237">
        <v>149</v>
      </c>
    </row>
    <row r="54" spans="1:5" ht="32.1" customHeight="1">
      <c r="A54" s="236" t="s">
        <v>668</v>
      </c>
      <c r="B54" s="237">
        <v>256</v>
      </c>
      <c r="C54" s="237">
        <v>222</v>
      </c>
      <c r="D54" s="237">
        <v>219</v>
      </c>
      <c r="E54" s="237">
        <v>3761</v>
      </c>
    </row>
    <row r="55" spans="1:5" ht="32.1" customHeight="1">
      <c r="A55" s="236" t="s">
        <v>669</v>
      </c>
      <c r="B55" s="237">
        <v>0</v>
      </c>
      <c r="C55" s="237">
        <v>3</v>
      </c>
      <c r="D55" s="237">
        <v>0</v>
      </c>
      <c r="E55" s="237">
        <v>175</v>
      </c>
    </row>
    <row r="56" spans="1:5" ht="32.1" customHeight="1">
      <c r="A56" s="236" t="s">
        <v>786</v>
      </c>
      <c r="B56" s="237">
        <v>248</v>
      </c>
      <c r="C56" s="237">
        <v>1</v>
      </c>
      <c r="D56" s="237">
        <v>148</v>
      </c>
      <c r="E56" s="237">
        <v>7</v>
      </c>
    </row>
    <row r="57" spans="1:5" ht="32.1" customHeight="1">
      <c r="A57" s="236" t="s">
        <v>671</v>
      </c>
      <c r="B57" s="237">
        <v>17901</v>
      </c>
      <c r="C57" s="237">
        <v>161</v>
      </c>
      <c r="D57" s="237">
        <v>9867</v>
      </c>
      <c r="E57" s="237">
        <v>108</v>
      </c>
    </row>
    <row r="58" spans="1:5" ht="32.1" customHeight="1">
      <c r="A58" s="236" t="s">
        <v>672</v>
      </c>
      <c r="B58" s="237">
        <v>0</v>
      </c>
      <c r="C58" s="237">
        <v>556</v>
      </c>
      <c r="D58" s="237">
        <v>0</v>
      </c>
      <c r="E58" s="237">
        <v>3884</v>
      </c>
    </row>
    <row r="59" spans="1:5" ht="32.1" customHeight="1">
      <c r="A59" s="236" t="s">
        <v>673</v>
      </c>
      <c r="B59" s="237">
        <v>375789</v>
      </c>
      <c r="C59" s="237">
        <v>835</v>
      </c>
      <c r="D59" s="237">
        <v>313833</v>
      </c>
      <c r="E59" s="237">
        <v>18879</v>
      </c>
    </row>
    <row r="60" spans="1:5" ht="32.1" customHeight="1">
      <c r="A60" s="236" t="s">
        <v>674</v>
      </c>
      <c r="B60" s="237">
        <v>460670</v>
      </c>
      <c r="C60" s="237">
        <v>2024</v>
      </c>
      <c r="D60" s="237">
        <v>403898</v>
      </c>
      <c r="E60" s="237">
        <v>12886</v>
      </c>
    </row>
    <row r="61" spans="1:5" ht="32.1" customHeight="1">
      <c r="A61" s="236" t="s">
        <v>726</v>
      </c>
      <c r="B61" s="237">
        <v>0</v>
      </c>
      <c r="C61" s="237">
        <v>402</v>
      </c>
      <c r="D61" s="237">
        <v>0</v>
      </c>
      <c r="E61" s="237">
        <v>6556</v>
      </c>
    </row>
    <row r="62" spans="1:5" ht="32.1" customHeight="1">
      <c r="A62" s="236" t="s">
        <v>676</v>
      </c>
      <c r="B62" s="237">
        <v>230492</v>
      </c>
      <c r="C62" s="237">
        <v>1436</v>
      </c>
      <c r="D62" s="237">
        <v>175351</v>
      </c>
      <c r="E62" s="237">
        <v>3453</v>
      </c>
    </row>
    <row r="63" spans="1:5" ht="32.1" customHeight="1">
      <c r="A63" s="236" t="s">
        <v>677</v>
      </c>
      <c r="B63" s="237">
        <v>0</v>
      </c>
      <c r="C63" s="237">
        <v>208</v>
      </c>
      <c r="D63" s="237">
        <v>0</v>
      </c>
      <c r="E63" s="237">
        <v>7527</v>
      </c>
    </row>
    <row r="64" spans="1:5" ht="32.1" customHeight="1">
      <c r="A64" s="236" t="s">
        <v>679</v>
      </c>
      <c r="B64" s="237">
        <v>58400</v>
      </c>
      <c r="C64" s="237">
        <v>270</v>
      </c>
      <c r="D64" s="237">
        <v>44052</v>
      </c>
      <c r="E64" s="237">
        <v>1482</v>
      </c>
    </row>
    <row r="65" spans="1:5" ht="32.1" customHeight="1">
      <c r="A65" s="236" t="s">
        <v>727</v>
      </c>
      <c r="B65" s="237">
        <v>521014</v>
      </c>
      <c r="C65" s="237">
        <v>1382</v>
      </c>
      <c r="D65" s="237">
        <v>423914</v>
      </c>
      <c r="E65" s="237">
        <v>11423</v>
      </c>
    </row>
    <row r="66" spans="1:5" ht="32.1" customHeight="1">
      <c r="A66" s="236" t="s">
        <v>728</v>
      </c>
      <c r="B66" s="237">
        <v>0</v>
      </c>
      <c r="C66" s="237">
        <v>1292</v>
      </c>
      <c r="D66" s="237">
        <v>0</v>
      </c>
      <c r="E66" s="237">
        <v>42260</v>
      </c>
    </row>
    <row r="67" spans="1:5" ht="32.1" customHeight="1">
      <c r="A67" s="236" t="s">
        <v>680</v>
      </c>
      <c r="B67" s="237">
        <v>9630</v>
      </c>
      <c r="C67" s="237">
        <v>36</v>
      </c>
      <c r="D67" s="237">
        <v>5872</v>
      </c>
      <c r="E67" s="237">
        <v>256</v>
      </c>
    </row>
    <row r="68" spans="1:5" ht="32.1" customHeight="1">
      <c r="A68" s="236" t="s">
        <v>681</v>
      </c>
      <c r="B68" s="237">
        <v>151315</v>
      </c>
      <c r="C68" s="237">
        <v>723</v>
      </c>
      <c r="D68" s="237">
        <v>135320</v>
      </c>
      <c r="E68" s="237">
        <v>8169</v>
      </c>
    </row>
    <row r="69" spans="1:5" ht="32.1" customHeight="1">
      <c r="A69" s="236" t="s">
        <v>682</v>
      </c>
      <c r="B69" s="237">
        <v>0</v>
      </c>
      <c r="C69" s="237">
        <v>617</v>
      </c>
      <c r="D69" s="237">
        <v>0</v>
      </c>
      <c r="E69" s="237">
        <v>19890</v>
      </c>
    </row>
    <row r="70" spans="1:5" ht="32.1" customHeight="1">
      <c r="A70" s="236" t="s">
        <v>772</v>
      </c>
      <c r="B70" s="237">
        <v>90569</v>
      </c>
      <c r="C70" s="237">
        <v>369</v>
      </c>
      <c r="D70" s="237">
        <v>44344</v>
      </c>
      <c r="E70" s="237">
        <v>1138</v>
      </c>
    </row>
    <row r="71" spans="1:5" ht="32.1" customHeight="1">
      <c r="A71" s="236" t="s">
        <v>729</v>
      </c>
      <c r="B71" s="237">
        <v>183435</v>
      </c>
      <c r="C71" s="237">
        <v>730</v>
      </c>
      <c r="D71" s="237">
        <v>157084</v>
      </c>
      <c r="E71" s="237">
        <v>12031</v>
      </c>
    </row>
    <row r="72" spans="1:5" ht="32.1" customHeight="1">
      <c r="A72" s="236" t="s">
        <v>755</v>
      </c>
      <c r="B72" s="237">
        <v>148276</v>
      </c>
      <c r="C72" s="237">
        <v>674</v>
      </c>
      <c r="D72" s="237">
        <v>118656</v>
      </c>
      <c r="E72" s="237">
        <v>9738</v>
      </c>
    </row>
    <row r="73" spans="1:5" ht="32.1" customHeight="1">
      <c r="A73" s="236" t="s">
        <v>684</v>
      </c>
      <c r="B73" s="237">
        <v>182720</v>
      </c>
      <c r="C73" s="237">
        <v>1484</v>
      </c>
      <c r="D73" s="237">
        <v>138116</v>
      </c>
      <c r="E73" s="237">
        <v>2249</v>
      </c>
    </row>
    <row r="74" spans="1:5" ht="32.1" customHeight="1">
      <c r="A74" s="236" t="s">
        <v>730</v>
      </c>
      <c r="B74" s="237">
        <v>15178</v>
      </c>
      <c r="C74" s="237">
        <v>52</v>
      </c>
      <c r="D74" s="237">
        <v>12585</v>
      </c>
      <c r="E74" s="237">
        <v>175</v>
      </c>
    </row>
    <row r="75" spans="1:5" ht="32.1" customHeight="1">
      <c r="A75" s="236" t="s">
        <v>787</v>
      </c>
      <c r="B75" s="237">
        <v>141343</v>
      </c>
      <c r="C75" s="237">
        <v>772</v>
      </c>
      <c r="D75" s="237">
        <v>135837</v>
      </c>
      <c r="E75" s="237">
        <v>1353</v>
      </c>
    </row>
    <row r="76" spans="1:5" ht="32.1" customHeight="1">
      <c r="A76" s="236" t="s">
        <v>685</v>
      </c>
      <c r="B76" s="237">
        <v>52285</v>
      </c>
      <c r="C76" s="237">
        <v>207</v>
      </c>
      <c r="D76" s="237">
        <v>45915</v>
      </c>
      <c r="E76" s="237">
        <v>1525</v>
      </c>
    </row>
    <row r="77" spans="1:5" ht="32.1" customHeight="1">
      <c r="A77" s="236" t="s">
        <v>756</v>
      </c>
      <c r="B77" s="237">
        <v>22945</v>
      </c>
      <c r="C77" s="237">
        <v>138</v>
      </c>
      <c r="D77" s="237">
        <v>17333</v>
      </c>
      <c r="E77" s="237">
        <v>290</v>
      </c>
    </row>
    <row r="78" spans="1:5" ht="32.1" customHeight="1">
      <c r="A78" s="236" t="s">
        <v>687</v>
      </c>
      <c r="B78" s="237">
        <v>420192</v>
      </c>
      <c r="C78" s="237">
        <v>1570</v>
      </c>
      <c r="D78" s="237">
        <v>348604</v>
      </c>
      <c r="E78" s="237">
        <v>12072</v>
      </c>
    </row>
    <row r="79" spans="1:5" ht="32.1" customHeight="1">
      <c r="A79" s="236" t="s">
        <v>689</v>
      </c>
      <c r="B79" s="237">
        <v>0</v>
      </c>
      <c r="C79" s="237">
        <v>3978</v>
      </c>
      <c r="D79" s="237">
        <v>0</v>
      </c>
      <c r="E79" s="237">
        <v>47325</v>
      </c>
    </row>
    <row r="80" spans="1:5" ht="32.1" customHeight="1">
      <c r="A80" s="236" t="s">
        <v>731</v>
      </c>
      <c r="B80" s="237">
        <v>105216</v>
      </c>
      <c r="C80" s="237">
        <v>412</v>
      </c>
      <c r="D80" s="237">
        <v>69583</v>
      </c>
      <c r="E80" s="237">
        <v>3075</v>
      </c>
    </row>
    <row r="81" spans="1:5" ht="32.1" customHeight="1">
      <c r="A81" s="236" t="s">
        <v>692</v>
      </c>
      <c r="B81" s="237">
        <v>1078347</v>
      </c>
      <c r="C81" s="237">
        <v>5698</v>
      </c>
      <c r="D81" s="237">
        <v>887903</v>
      </c>
      <c r="E81" s="237">
        <v>20105</v>
      </c>
    </row>
    <row r="82" spans="1:5" ht="32.1" customHeight="1">
      <c r="A82" s="236" t="s">
        <v>693</v>
      </c>
      <c r="B82" s="237">
        <v>0</v>
      </c>
      <c r="C82" s="237">
        <v>145</v>
      </c>
      <c r="D82" s="237">
        <v>0</v>
      </c>
      <c r="E82" s="237">
        <v>3626</v>
      </c>
    </row>
    <row r="83" spans="1:5" ht="32.1" customHeight="1">
      <c r="A83" s="236" t="s">
        <v>694</v>
      </c>
      <c r="B83" s="237">
        <v>539862</v>
      </c>
      <c r="C83" s="237">
        <v>2186</v>
      </c>
      <c r="D83" s="237">
        <v>399529</v>
      </c>
      <c r="E83" s="237">
        <v>9267</v>
      </c>
    </row>
    <row r="84" spans="1:5" ht="32.1" customHeight="1">
      <c r="A84" s="236" t="s">
        <v>775</v>
      </c>
      <c r="B84" s="237">
        <v>10340</v>
      </c>
      <c r="C84" s="237">
        <v>44</v>
      </c>
      <c r="D84" s="237">
        <v>9726</v>
      </c>
      <c r="E84" s="237">
        <v>155</v>
      </c>
    </row>
    <row r="85" spans="1:5" ht="32.1" customHeight="1">
      <c r="A85" s="236" t="s">
        <v>696</v>
      </c>
      <c r="B85" s="237">
        <v>1719710</v>
      </c>
      <c r="C85" s="237">
        <v>9279</v>
      </c>
      <c r="D85" s="237">
        <v>1350184</v>
      </c>
      <c r="E85" s="237">
        <v>29453</v>
      </c>
    </row>
    <row r="86" spans="1:5" ht="32.1" customHeight="1">
      <c r="A86" s="236" t="s">
        <v>776</v>
      </c>
      <c r="B86" s="237">
        <v>194794</v>
      </c>
      <c r="C86" s="237">
        <v>1236</v>
      </c>
      <c r="D86" s="237">
        <v>164775</v>
      </c>
      <c r="E86" s="237">
        <v>1630</v>
      </c>
    </row>
    <row r="87" spans="1:5" ht="32.1" customHeight="1">
      <c r="A87" s="236" t="s">
        <v>697</v>
      </c>
      <c r="B87" s="237">
        <v>2642473</v>
      </c>
      <c r="C87" s="237">
        <v>15583</v>
      </c>
      <c r="D87" s="237">
        <v>2075740</v>
      </c>
      <c r="E87" s="237">
        <v>41078</v>
      </c>
    </row>
    <row r="88" spans="1:5" ht="32.1" customHeight="1">
      <c r="A88" s="236" t="s">
        <v>698</v>
      </c>
      <c r="B88" s="237">
        <v>2710118</v>
      </c>
      <c r="C88" s="237">
        <v>15419</v>
      </c>
      <c r="D88" s="237">
        <v>2097415</v>
      </c>
      <c r="E88" s="237">
        <v>41080</v>
      </c>
    </row>
    <row r="89" spans="1:5" ht="32.1" customHeight="1">
      <c r="A89" s="236" t="s">
        <v>777</v>
      </c>
      <c r="B89" s="237">
        <v>0</v>
      </c>
      <c r="C89" s="237">
        <v>56</v>
      </c>
      <c r="D89" s="237">
        <v>0</v>
      </c>
      <c r="E89" s="237">
        <v>313</v>
      </c>
    </row>
    <row r="90" spans="1:5" ht="32.1" customHeight="1">
      <c r="A90" s="236" t="s">
        <v>699</v>
      </c>
      <c r="B90" s="237">
        <v>217870</v>
      </c>
      <c r="C90" s="237">
        <v>1310</v>
      </c>
      <c r="D90" s="237">
        <v>154247</v>
      </c>
      <c r="E90" s="237">
        <v>3317</v>
      </c>
    </row>
    <row r="91" spans="1:5" ht="32.1" customHeight="1">
      <c r="A91" s="236" t="s">
        <v>700</v>
      </c>
      <c r="B91" s="237">
        <v>0</v>
      </c>
      <c r="C91" s="237">
        <v>742</v>
      </c>
      <c r="D91" s="237">
        <v>0</v>
      </c>
      <c r="E91" s="237">
        <v>3731</v>
      </c>
    </row>
    <row r="92" spans="1:5" ht="32.1" customHeight="1">
      <c r="A92" s="236" t="s">
        <v>701</v>
      </c>
      <c r="B92" s="237">
        <v>224572</v>
      </c>
      <c r="C92" s="237">
        <v>1332</v>
      </c>
      <c r="D92" s="237">
        <v>184452</v>
      </c>
      <c r="E92" s="237">
        <v>2614</v>
      </c>
    </row>
    <row r="93" spans="1:5" ht="32.1" customHeight="1">
      <c r="A93" s="236" t="s">
        <v>702</v>
      </c>
      <c r="B93" s="237">
        <v>0</v>
      </c>
      <c r="C93" s="237">
        <v>592</v>
      </c>
      <c r="D93" s="237">
        <v>0</v>
      </c>
      <c r="E93" s="237">
        <v>33485</v>
      </c>
    </row>
    <row r="94" spans="1:5" ht="32.1" customHeight="1">
      <c r="A94" s="236" t="s">
        <v>703</v>
      </c>
      <c r="B94" s="237">
        <v>568176</v>
      </c>
      <c r="C94" s="237">
        <v>2745</v>
      </c>
      <c r="D94" s="237">
        <v>480821</v>
      </c>
      <c r="E94" s="237">
        <v>12675</v>
      </c>
    </row>
    <row r="95" spans="1:5" ht="32.1" customHeight="1">
      <c r="A95" s="236" t="s">
        <v>757</v>
      </c>
      <c r="B95" s="237">
        <v>205446</v>
      </c>
      <c r="C95" s="237">
        <v>1184</v>
      </c>
      <c r="D95" s="237">
        <v>187840</v>
      </c>
      <c r="E95" s="237">
        <v>2292</v>
      </c>
    </row>
    <row r="96" spans="1:5" ht="32.1" customHeight="1">
      <c r="A96" s="236" t="s">
        <v>778</v>
      </c>
      <c r="B96" s="237">
        <v>102948</v>
      </c>
      <c r="C96" s="237">
        <v>373</v>
      </c>
      <c r="D96" s="237">
        <v>78796</v>
      </c>
      <c r="E96" s="237">
        <v>4292</v>
      </c>
    </row>
    <row r="97" spans="1:5" ht="32.1" customHeight="1">
      <c r="A97" s="236" t="s">
        <v>779</v>
      </c>
      <c r="B97" s="237">
        <v>252938</v>
      </c>
      <c r="C97" s="237">
        <v>1405</v>
      </c>
      <c r="D97" s="237">
        <v>226190</v>
      </c>
      <c r="E97" s="237">
        <v>2134</v>
      </c>
    </row>
    <row r="98" spans="1:5" ht="32.1" customHeight="1">
      <c r="A98" s="236" t="s">
        <v>704</v>
      </c>
      <c r="B98" s="237">
        <v>0</v>
      </c>
      <c r="C98" s="237">
        <v>310</v>
      </c>
      <c r="D98" s="237">
        <v>0</v>
      </c>
      <c r="E98" s="237">
        <v>14711</v>
      </c>
    </row>
    <row r="99" spans="1:5" ht="32.1" customHeight="1">
      <c r="A99" s="236" t="s">
        <v>705</v>
      </c>
      <c r="B99" s="237">
        <v>246133</v>
      </c>
      <c r="C99" s="237">
        <v>1102</v>
      </c>
      <c r="D99" s="237">
        <v>216724</v>
      </c>
      <c r="E99" s="237">
        <v>39509</v>
      </c>
    </row>
    <row r="100" spans="1:5" ht="32.1" customHeight="1">
      <c r="A100" s="236" t="s">
        <v>706</v>
      </c>
      <c r="B100" s="237">
        <v>0</v>
      </c>
      <c r="C100" s="237">
        <v>161</v>
      </c>
      <c r="D100" s="237">
        <v>0</v>
      </c>
      <c r="E100" s="237">
        <v>11475</v>
      </c>
    </row>
    <row r="101" spans="1:5" ht="32.1" customHeight="1">
      <c r="A101" s="236" t="s">
        <v>707</v>
      </c>
      <c r="B101" s="237">
        <v>1447423</v>
      </c>
      <c r="C101" s="237">
        <v>4735</v>
      </c>
      <c r="D101" s="237">
        <v>1208953</v>
      </c>
      <c r="E101" s="237">
        <v>52203</v>
      </c>
    </row>
    <row r="102" spans="1:5" ht="32.1" customHeight="1">
      <c r="A102" s="236" t="s">
        <v>708</v>
      </c>
      <c r="B102" s="237">
        <v>188748</v>
      </c>
      <c r="C102" s="237">
        <v>1077</v>
      </c>
      <c r="D102" s="237">
        <v>147591</v>
      </c>
      <c r="E102" s="237">
        <v>2202</v>
      </c>
    </row>
    <row r="103" spans="1:5" ht="32.1" customHeight="1">
      <c r="A103" s="236" t="s">
        <v>788</v>
      </c>
      <c r="B103" s="237">
        <v>144768</v>
      </c>
      <c r="C103" s="237">
        <v>384</v>
      </c>
      <c r="D103" s="237">
        <v>119681</v>
      </c>
      <c r="E103" s="237">
        <v>2090</v>
      </c>
    </row>
    <row r="104" spans="1:5" ht="32.1" customHeight="1">
      <c r="A104" s="236" t="s">
        <v>709</v>
      </c>
      <c r="B104" s="237">
        <v>1555576</v>
      </c>
      <c r="C104" s="237">
        <v>4698</v>
      </c>
      <c r="D104" s="237">
        <v>937083</v>
      </c>
      <c r="E104" s="237">
        <v>41140</v>
      </c>
    </row>
    <row r="105" spans="1:5" ht="32.1" customHeight="1">
      <c r="A105" s="236" t="s">
        <v>710</v>
      </c>
      <c r="B105" s="237">
        <v>293254</v>
      </c>
      <c r="C105" s="237">
        <v>1244</v>
      </c>
      <c r="D105" s="237">
        <v>240751</v>
      </c>
      <c r="E105" s="237">
        <v>17760</v>
      </c>
    </row>
    <row r="106" spans="1:5" ht="32.1" customHeight="1">
      <c r="A106" s="236" t="s">
        <v>712</v>
      </c>
      <c r="B106" s="237">
        <v>0</v>
      </c>
      <c r="C106" s="237">
        <v>2517</v>
      </c>
      <c r="D106" s="237">
        <v>0</v>
      </c>
      <c r="E106" s="237">
        <v>54646</v>
      </c>
    </row>
    <row r="107" spans="1:5" ht="32.1" customHeight="1">
      <c r="A107" s="236" t="s">
        <v>713</v>
      </c>
      <c r="B107" s="237">
        <v>0</v>
      </c>
      <c r="C107" s="237">
        <v>3048</v>
      </c>
      <c r="D107" s="237">
        <v>0</v>
      </c>
      <c r="E107" s="237">
        <v>76388</v>
      </c>
    </row>
    <row r="108" spans="1:5" ht="32.1" customHeight="1">
      <c r="A108" s="236" t="s">
        <v>714</v>
      </c>
      <c r="B108" s="237">
        <v>0</v>
      </c>
      <c r="C108" s="237">
        <v>4</v>
      </c>
      <c r="D108" s="237">
        <v>0</v>
      </c>
      <c r="E108" s="237">
        <v>65</v>
      </c>
    </row>
    <row r="109" spans="1:5" ht="32.1" customHeight="1">
      <c r="A109" s="236" t="s">
        <v>715</v>
      </c>
      <c r="B109" s="237">
        <v>218326</v>
      </c>
      <c r="C109" s="237">
        <v>780</v>
      </c>
      <c r="D109" s="237">
        <v>168723</v>
      </c>
      <c r="E109" s="237">
        <v>18904</v>
      </c>
    </row>
    <row r="110" spans="1:5" ht="32.1" customHeight="1">
      <c r="A110" s="236" t="s">
        <v>759</v>
      </c>
      <c r="B110" s="237">
        <v>516240</v>
      </c>
      <c r="C110" s="237">
        <v>2868</v>
      </c>
      <c r="D110" s="237">
        <v>461090</v>
      </c>
      <c r="E110" s="237">
        <v>2378</v>
      </c>
    </row>
    <row r="111" spans="1:5" ht="32.1" customHeight="1">
      <c r="A111" s="236" t="s">
        <v>716</v>
      </c>
      <c r="B111" s="237">
        <v>183798</v>
      </c>
      <c r="C111" s="237">
        <v>632</v>
      </c>
      <c r="D111" s="237">
        <v>156204</v>
      </c>
      <c r="E111" s="237">
        <v>10068</v>
      </c>
    </row>
    <row r="112" spans="1:5" ht="32.1" customHeight="1">
      <c r="A112" s="236" t="s">
        <v>717</v>
      </c>
      <c r="B112" s="237">
        <v>602924</v>
      </c>
      <c r="C112" s="237">
        <v>3360</v>
      </c>
      <c r="D112" s="237">
        <v>329164</v>
      </c>
      <c r="E112" s="237">
        <v>4155</v>
      </c>
    </row>
    <row r="113" spans="1:5" ht="32.1" customHeight="1">
      <c r="A113" s="236" t="s">
        <v>718</v>
      </c>
      <c r="B113" s="237">
        <v>952708</v>
      </c>
      <c r="C113" s="237">
        <v>4549</v>
      </c>
      <c r="D113" s="237">
        <v>739669</v>
      </c>
      <c r="E113" s="237">
        <v>14251</v>
      </c>
    </row>
    <row r="114" spans="1:5" ht="32.1" customHeight="1">
      <c r="A114" s="236" t="s">
        <v>745</v>
      </c>
      <c r="B114" s="237">
        <v>166034</v>
      </c>
      <c r="C114" s="237">
        <v>592</v>
      </c>
      <c r="D114" s="237">
        <v>138661</v>
      </c>
      <c r="E114" s="237">
        <v>4996</v>
      </c>
    </row>
    <row r="115" spans="1:5" ht="32.1" customHeight="1">
      <c r="A115" s="236" t="s">
        <v>733</v>
      </c>
      <c r="B115" s="237">
        <v>300</v>
      </c>
      <c r="C115" s="237">
        <v>2</v>
      </c>
      <c r="D115" s="237">
        <v>87</v>
      </c>
      <c r="E115" s="237">
        <v>2</v>
      </c>
    </row>
    <row r="116" spans="1:5" ht="32.1" customHeight="1">
      <c r="A116" s="236" t="s">
        <v>720</v>
      </c>
      <c r="B116" s="237">
        <v>238824</v>
      </c>
      <c r="C116" s="237">
        <v>1364</v>
      </c>
      <c r="D116" s="237">
        <v>190783</v>
      </c>
      <c r="E116" s="237">
        <v>2517</v>
      </c>
    </row>
    <row r="117" spans="1:5" ht="32.1" customHeight="1">
      <c r="A117" s="236" t="s">
        <v>789</v>
      </c>
      <c r="B117" s="237">
        <v>0</v>
      </c>
      <c r="C117" s="237">
        <v>136</v>
      </c>
      <c r="D117" s="237">
        <v>0</v>
      </c>
      <c r="E117" s="237">
        <v>3532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FC374-52E5-4DC9-81BF-EC75FF860F49}">
  <dimension ref="A1:E114"/>
  <sheetViews>
    <sheetView workbookViewId="0">
      <selection sqref="A1:E1"/>
    </sheetView>
  </sheetViews>
  <sheetFormatPr defaultColWidth="9" defaultRowHeight="16.5"/>
  <cols>
    <col min="1" max="1" width="48.5" style="14" customWidth="1"/>
    <col min="2" max="3" width="28.375" style="14" customWidth="1"/>
    <col min="4" max="5" width="28.5" style="14" customWidth="1"/>
    <col min="6" max="16384" width="9" style="14"/>
  </cols>
  <sheetData>
    <row r="1" spans="1:5" ht="33.950000000000003" customHeight="1">
      <c r="A1" s="435" t="s">
        <v>790</v>
      </c>
      <c r="B1" s="436"/>
      <c r="C1" s="436"/>
      <c r="D1" s="436"/>
      <c r="E1" s="436"/>
    </row>
    <row r="2" spans="1:5" ht="36.950000000000003" customHeight="1">
      <c r="A2" s="235" t="s">
        <v>624</v>
      </c>
      <c r="B2" s="235" t="s">
        <v>625</v>
      </c>
      <c r="C2" s="235" t="s">
        <v>626</v>
      </c>
      <c r="D2" s="235" t="s">
        <v>340</v>
      </c>
      <c r="E2" s="235" t="s">
        <v>342</v>
      </c>
    </row>
    <row r="3" spans="1:5" ht="32.1" customHeight="1">
      <c r="A3" s="236" t="s">
        <v>627</v>
      </c>
      <c r="B3" s="237">
        <v>112911898</v>
      </c>
      <c r="C3" s="237">
        <v>570597</v>
      </c>
      <c r="D3" s="237">
        <v>90238814</v>
      </c>
      <c r="E3" s="237">
        <v>3806552</v>
      </c>
    </row>
    <row r="4" spans="1:5" ht="32.1" customHeight="1">
      <c r="A4" s="236" t="s">
        <v>628</v>
      </c>
      <c r="B4" s="237">
        <v>84329502</v>
      </c>
      <c r="C4" s="237">
        <v>420486</v>
      </c>
      <c r="D4" s="237">
        <v>68106765</v>
      </c>
      <c r="E4" s="237">
        <v>2733091</v>
      </c>
    </row>
    <row r="5" spans="1:5" ht="32.1" customHeight="1">
      <c r="A5" s="236" t="s">
        <v>629</v>
      </c>
      <c r="B5" s="237">
        <v>33133187</v>
      </c>
      <c r="C5" s="237">
        <v>155567</v>
      </c>
      <c r="D5" s="237">
        <v>25234712</v>
      </c>
      <c r="E5" s="237">
        <v>1639833</v>
      </c>
    </row>
    <row r="6" spans="1:5" ht="32.1" customHeight="1">
      <c r="A6" s="236" t="s">
        <v>630</v>
      </c>
      <c r="B6" s="237">
        <v>22873092</v>
      </c>
      <c r="C6" s="237">
        <v>111588</v>
      </c>
      <c r="D6" s="237">
        <v>18284942</v>
      </c>
      <c r="E6" s="237">
        <v>877963</v>
      </c>
    </row>
    <row r="7" spans="1:5" ht="32.1" customHeight="1">
      <c r="A7" s="236" t="s">
        <v>631</v>
      </c>
      <c r="B7" s="237">
        <v>8162700</v>
      </c>
      <c r="C7" s="237">
        <v>43408</v>
      </c>
      <c r="D7" s="237">
        <v>7227016</v>
      </c>
      <c r="E7" s="237">
        <v>56020</v>
      </c>
    </row>
    <row r="8" spans="1:5" ht="32.1" customHeight="1">
      <c r="A8" s="236" t="s">
        <v>632</v>
      </c>
      <c r="B8" s="237">
        <v>6029972</v>
      </c>
      <c r="C8" s="237">
        <v>29704</v>
      </c>
      <c r="D8" s="237">
        <v>5364234</v>
      </c>
      <c r="E8" s="237">
        <v>52320</v>
      </c>
    </row>
    <row r="9" spans="1:5" ht="32.1" customHeight="1">
      <c r="A9" s="236" t="s">
        <v>633</v>
      </c>
      <c r="B9" s="237">
        <v>5860267</v>
      </c>
      <c r="C9" s="237">
        <v>33212</v>
      </c>
      <c r="D9" s="237">
        <v>4907953</v>
      </c>
      <c r="E9" s="237">
        <v>48124</v>
      </c>
    </row>
    <row r="10" spans="1:5" ht="32.1" customHeight="1">
      <c r="A10" s="236" t="s">
        <v>634</v>
      </c>
      <c r="B10" s="237">
        <v>3901018</v>
      </c>
      <c r="C10" s="237">
        <v>22546</v>
      </c>
      <c r="D10" s="237">
        <v>3398902</v>
      </c>
      <c r="E10" s="237">
        <v>25308</v>
      </c>
    </row>
    <row r="11" spans="1:5" ht="32.1" customHeight="1">
      <c r="A11" s="236" t="s">
        <v>722</v>
      </c>
      <c r="B11" s="237">
        <v>4369266</v>
      </c>
      <c r="C11" s="237">
        <v>23205</v>
      </c>
      <c r="D11" s="237">
        <v>3689006</v>
      </c>
      <c r="E11" s="237">
        <v>23604</v>
      </c>
    </row>
    <row r="12" spans="1:5" ht="32.1" customHeight="1">
      <c r="A12" s="236" t="s">
        <v>762</v>
      </c>
      <c r="B12" s="237">
        <v>0</v>
      </c>
      <c r="C12" s="237">
        <v>1256</v>
      </c>
      <c r="D12" s="237">
        <v>0</v>
      </c>
      <c r="E12" s="237">
        <v>9920</v>
      </c>
    </row>
    <row r="13" spans="1:5" ht="32.1" customHeight="1">
      <c r="A13" s="236" t="s">
        <v>635</v>
      </c>
      <c r="B13" s="237">
        <v>28582396</v>
      </c>
      <c r="C13" s="237">
        <v>150111</v>
      </c>
      <c r="D13" s="237">
        <v>22132049</v>
      </c>
      <c r="E13" s="237">
        <v>1073461</v>
      </c>
    </row>
    <row r="14" spans="1:5" ht="32.1" customHeight="1">
      <c r="A14" s="236" t="s">
        <v>791</v>
      </c>
      <c r="B14" s="237">
        <v>20564</v>
      </c>
      <c r="C14" s="237">
        <v>106</v>
      </c>
      <c r="D14" s="237">
        <v>13899</v>
      </c>
      <c r="E14" s="237">
        <v>120</v>
      </c>
    </row>
    <row r="15" spans="1:5" ht="32.1" customHeight="1">
      <c r="A15" s="236" t="s">
        <v>638</v>
      </c>
      <c r="B15" s="237">
        <v>327250</v>
      </c>
      <c r="C15" s="237">
        <v>1348</v>
      </c>
      <c r="D15" s="237">
        <v>232401</v>
      </c>
      <c r="E15" s="237">
        <v>10627</v>
      </c>
    </row>
    <row r="16" spans="1:5" ht="32.1" customHeight="1">
      <c r="A16" s="236" t="s">
        <v>641</v>
      </c>
      <c r="B16" s="237">
        <v>204030</v>
      </c>
      <c r="C16" s="237">
        <v>724</v>
      </c>
      <c r="D16" s="237">
        <v>174535</v>
      </c>
      <c r="E16" s="237">
        <v>26340</v>
      </c>
    </row>
    <row r="17" spans="1:5" ht="32.1" customHeight="1">
      <c r="A17" s="236" t="s">
        <v>792</v>
      </c>
      <c r="B17" s="237">
        <v>9960</v>
      </c>
      <c r="C17" s="237">
        <v>26</v>
      </c>
      <c r="D17" s="237">
        <v>9511</v>
      </c>
      <c r="E17" s="237">
        <v>142</v>
      </c>
    </row>
    <row r="18" spans="1:5" ht="32.1" customHeight="1">
      <c r="A18" s="236" t="s">
        <v>643</v>
      </c>
      <c r="B18" s="237">
        <v>434682</v>
      </c>
      <c r="C18" s="237">
        <v>1356</v>
      </c>
      <c r="D18" s="237">
        <v>378397</v>
      </c>
      <c r="E18" s="237">
        <v>16248</v>
      </c>
    </row>
    <row r="19" spans="1:5" ht="32.1" customHeight="1">
      <c r="A19" s="236" t="s">
        <v>765</v>
      </c>
      <c r="B19" s="237">
        <v>117914</v>
      </c>
      <c r="C19" s="237">
        <v>798</v>
      </c>
      <c r="D19" s="237">
        <v>75695</v>
      </c>
      <c r="E19" s="237">
        <v>1043</v>
      </c>
    </row>
    <row r="20" spans="1:5" ht="32.1" customHeight="1">
      <c r="A20" s="236" t="s">
        <v>645</v>
      </c>
      <c r="B20" s="237">
        <v>277702</v>
      </c>
      <c r="C20" s="237">
        <v>724</v>
      </c>
      <c r="D20" s="237">
        <v>220734</v>
      </c>
      <c r="E20" s="237">
        <v>5685</v>
      </c>
    </row>
    <row r="21" spans="1:5" ht="32.1" customHeight="1">
      <c r="A21" s="236" t="s">
        <v>793</v>
      </c>
      <c r="B21" s="237">
        <v>7320</v>
      </c>
      <c r="C21" s="237">
        <v>40</v>
      </c>
      <c r="D21" s="237">
        <v>6865</v>
      </c>
      <c r="E21" s="237">
        <v>70</v>
      </c>
    </row>
    <row r="22" spans="1:5" ht="32.1" customHeight="1">
      <c r="A22" s="236" t="s">
        <v>794</v>
      </c>
      <c r="B22" s="237">
        <v>720</v>
      </c>
      <c r="C22" s="237">
        <v>4</v>
      </c>
      <c r="D22" s="237">
        <v>610</v>
      </c>
      <c r="E22" s="237">
        <v>6</v>
      </c>
    </row>
    <row r="23" spans="1:5" ht="32.1" customHeight="1">
      <c r="A23" s="236" t="s">
        <v>646</v>
      </c>
      <c r="B23" s="237">
        <v>473805</v>
      </c>
      <c r="C23" s="237">
        <v>1198</v>
      </c>
      <c r="D23" s="237">
        <v>385847</v>
      </c>
      <c r="E23" s="237">
        <v>20824</v>
      </c>
    </row>
    <row r="24" spans="1:5" ht="32.1" customHeight="1">
      <c r="A24" s="236" t="s">
        <v>647</v>
      </c>
      <c r="B24" s="237">
        <v>0</v>
      </c>
      <c r="C24" s="237">
        <v>445</v>
      </c>
      <c r="D24" s="237">
        <v>0</v>
      </c>
      <c r="E24" s="237">
        <v>15998</v>
      </c>
    </row>
    <row r="25" spans="1:5" ht="32.1" customHeight="1">
      <c r="A25" s="236" t="s">
        <v>648</v>
      </c>
      <c r="B25" s="237">
        <v>49608</v>
      </c>
      <c r="C25" s="237">
        <v>478</v>
      </c>
      <c r="D25" s="237">
        <v>38918</v>
      </c>
      <c r="E25" s="237">
        <v>536</v>
      </c>
    </row>
    <row r="26" spans="1:5" ht="32.1" customHeight="1">
      <c r="A26" s="236" t="s">
        <v>649</v>
      </c>
      <c r="B26" s="237">
        <v>206476</v>
      </c>
      <c r="C26" s="237">
        <v>730</v>
      </c>
      <c r="D26" s="237">
        <v>157483</v>
      </c>
      <c r="E26" s="237">
        <v>13139</v>
      </c>
    </row>
    <row r="27" spans="1:5" ht="32.1" customHeight="1">
      <c r="A27" s="236" t="s">
        <v>767</v>
      </c>
      <c r="B27" s="237">
        <v>0</v>
      </c>
      <c r="C27" s="237">
        <v>2</v>
      </c>
      <c r="D27" s="237">
        <v>0</v>
      </c>
      <c r="E27" s="237">
        <v>15</v>
      </c>
    </row>
    <row r="28" spans="1:5" ht="32.1" customHeight="1">
      <c r="A28" s="236" t="s">
        <v>650</v>
      </c>
      <c r="B28" s="237">
        <v>172074</v>
      </c>
      <c r="C28" s="237">
        <v>734</v>
      </c>
      <c r="D28" s="237">
        <v>146113</v>
      </c>
      <c r="E28" s="237">
        <v>4039</v>
      </c>
    </row>
    <row r="29" spans="1:5" ht="32.1" customHeight="1">
      <c r="A29" s="236" t="s">
        <v>651</v>
      </c>
      <c r="B29" s="237">
        <v>0</v>
      </c>
      <c r="C29" s="237">
        <v>34</v>
      </c>
      <c r="D29" s="237">
        <v>0</v>
      </c>
      <c r="E29" s="237">
        <v>195</v>
      </c>
    </row>
    <row r="30" spans="1:5" ht="32.1" customHeight="1">
      <c r="A30" s="236" t="s">
        <v>749</v>
      </c>
      <c r="B30" s="237">
        <v>31320</v>
      </c>
      <c r="C30" s="237">
        <v>174</v>
      </c>
      <c r="D30" s="237">
        <v>28670</v>
      </c>
      <c r="E30" s="237">
        <v>282</v>
      </c>
    </row>
    <row r="31" spans="1:5" ht="32.1" customHeight="1">
      <c r="A31" s="236" t="s">
        <v>652</v>
      </c>
      <c r="B31" s="237">
        <v>1225026</v>
      </c>
      <c r="C31" s="237">
        <v>5584</v>
      </c>
      <c r="D31" s="237">
        <v>1019677</v>
      </c>
      <c r="E31" s="237">
        <v>29992</v>
      </c>
    </row>
    <row r="32" spans="1:5" ht="32.1" customHeight="1">
      <c r="A32" s="236" t="s">
        <v>653</v>
      </c>
      <c r="B32" s="237">
        <v>0</v>
      </c>
      <c r="C32" s="237">
        <v>10</v>
      </c>
      <c r="D32" s="237">
        <v>0</v>
      </c>
      <c r="E32" s="237">
        <v>534</v>
      </c>
    </row>
    <row r="33" spans="1:5" ht="32.1" customHeight="1">
      <c r="A33" s="236" t="s">
        <v>654</v>
      </c>
      <c r="B33" s="237">
        <v>47494</v>
      </c>
      <c r="C33" s="237">
        <v>307</v>
      </c>
      <c r="D33" s="237">
        <v>33858</v>
      </c>
      <c r="E33" s="237">
        <v>419</v>
      </c>
    </row>
    <row r="34" spans="1:5" ht="32.1" customHeight="1">
      <c r="A34" s="236" t="s">
        <v>768</v>
      </c>
      <c r="B34" s="237">
        <v>79795</v>
      </c>
      <c r="C34" s="237">
        <v>471</v>
      </c>
      <c r="D34" s="237">
        <v>71012</v>
      </c>
      <c r="E34" s="237">
        <v>722</v>
      </c>
    </row>
    <row r="35" spans="1:5" ht="32.1" customHeight="1">
      <c r="A35" s="236" t="s">
        <v>769</v>
      </c>
      <c r="B35" s="237">
        <v>173520</v>
      </c>
      <c r="C35" s="237">
        <v>969</v>
      </c>
      <c r="D35" s="237">
        <v>132157</v>
      </c>
      <c r="E35" s="237">
        <v>2233</v>
      </c>
    </row>
    <row r="36" spans="1:5" ht="32.1" customHeight="1">
      <c r="A36" s="236" t="s">
        <v>656</v>
      </c>
      <c r="B36" s="237">
        <v>8160</v>
      </c>
      <c r="C36" s="237">
        <v>30</v>
      </c>
      <c r="D36" s="237">
        <v>7808</v>
      </c>
      <c r="E36" s="237">
        <v>278</v>
      </c>
    </row>
    <row r="37" spans="1:5" ht="32.1" customHeight="1">
      <c r="A37" s="236" t="s">
        <v>724</v>
      </c>
      <c r="B37" s="237">
        <v>161134</v>
      </c>
      <c r="C37" s="237">
        <v>747</v>
      </c>
      <c r="D37" s="237">
        <v>126810</v>
      </c>
      <c r="E37" s="237">
        <v>1853</v>
      </c>
    </row>
    <row r="38" spans="1:5" ht="32.1" customHeight="1">
      <c r="A38" s="236" t="s">
        <v>658</v>
      </c>
      <c r="B38" s="237">
        <v>696318</v>
      </c>
      <c r="C38" s="237">
        <v>4224</v>
      </c>
      <c r="D38" s="237">
        <v>403241</v>
      </c>
      <c r="E38" s="237">
        <v>8488</v>
      </c>
    </row>
    <row r="39" spans="1:5" ht="32.1" customHeight="1">
      <c r="A39" s="236" t="s">
        <v>659</v>
      </c>
      <c r="B39" s="237">
        <v>471440</v>
      </c>
      <c r="C39" s="237">
        <v>2277</v>
      </c>
      <c r="D39" s="237">
        <v>370929</v>
      </c>
      <c r="E39" s="237">
        <v>6238</v>
      </c>
    </row>
    <row r="40" spans="1:5" ht="32.1" customHeight="1">
      <c r="A40" s="236" t="s">
        <v>660</v>
      </c>
      <c r="B40" s="237">
        <v>475846</v>
      </c>
      <c r="C40" s="237">
        <v>2646</v>
      </c>
      <c r="D40" s="237">
        <v>363478</v>
      </c>
      <c r="E40" s="237">
        <v>5235</v>
      </c>
    </row>
    <row r="41" spans="1:5" ht="32.1" customHeight="1">
      <c r="A41" s="236" t="s">
        <v>739</v>
      </c>
      <c r="B41" s="237">
        <v>137682</v>
      </c>
      <c r="C41" s="237">
        <v>769</v>
      </c>
      <c r="D41" s="237">
        <v>105604</v>
      </c>
      <c r="E41" s="237">
        <v>991</v>
      </c>
    </row>
    <row r="42" spans="1:5" ht="32.1" customHeight="1">
      <c r="A42" s="236" t="s">
        <v>770</v>
      </c>
      <c r="B42" s="237">
        <v>131220</v>
      </c>
      <c r="C42" s="237">
        <v>335</v>
      </c>
      <c r="D42" s="237">
        <v>103683</v>
      </c>
      <c r="E42" s="237">
        <v>2619</v>
      </c>
    </row>
    <row r="43" spans="1:5" ht="32.1" customHeight="1">
      <c r="A43" s="236" t="s">
        <v>662</v>
      </c>
      <c r="B43" s="237">
        <v>7950</v>
      </c>
      <c r="C43" s="237">
        <v>56</v>
      </c>
      <c r="D43" s="237">
        <v>6302</v>
      </c>
      <c r="E43" s="237">
        <v>60</v>
      </c>
    </row>
    <row r="44" spans="1:5" ht="32.1" customHeight="1">
      <c r="A44" s="236" t="s">
        <v>663</v>
      </c>
      <c r="B44" s="237">
        <v>40132</v>
      </c>
      <c r="C44" s="237">
        <v>254</v>
      </c>
      <c r="D44" s="237">
        <v>31527</v>
      </c>
      <c r="E44" s="237">
        <v>441</v>
      </c>
    </row>
    <row r="45" spans="1:5" ht="32.1" customHeight="1">
      <c r="A45" s="236" t="s">
        <v>795</v>
      </c>
      <c r="B45" s="237">
        <v>0</v>
      </c>
      <c r="C45" s="237">
        <v>110</v>
      </c>
      <c r="D45" s="237">
        <v>0</v>
      </c>
      <c r="E45" s="237">
        <v>6414</v>
      </c>
    </row>
    <row r="46" spans="1:5" ht="32.1" customHeight="1">
      <c r="A46" s="236" t="s">
        <v>751</v>
      </c>
      <c r="B46" s="237">
        <v>0</v>
      </c>
      <c r="C46" s="237">
        <v>5</v>
      </c>
      <c r="D46" s="237">
        <v>0</v>
      </c>
      <c r="E46" s="237">
        <v>58</v>
      </c>
    </row>
    <row r="47" spans="1:5" ht="32.1" customHeight="1">
      <c r="A47" s="236" t="s">
        <v>784</v>
      </c>
      <c r="B47" s="237">
        <v>0</v>
      </c>
      <c r="C47" s="237">
        <v>78</v>
      </c>
      <c r="D47" s="237">
        <v>0</v>
      </c>
      <c r="E47" s="237">
        <v>4334</v>
      </c>
    </row>
    <row r="48" spans="1:5" ht="32.1" customHeight="1">
      <c r="A48" s="236" t="s">
        <v>664</v>
      </c>
      <c r="B48" s="237">
        <v>0</v>
      </c>
      <c r="C48" s="237">
        <v>2</v>
      </c>
      <c r="D48" s="237">
        <v>0</v>
      </c>
      <c r="E48" s="237">
        <v>92</v>
      </c>
    </row>
    <row r="49" spans="1:5" ht="32.1" customHeight="1">
      <c r="A49" s="236" t="s">
        <v>665</v>
      </c>
      <c r="B49" s="237">
        <v>1030814</v>
      </c>
      <c r="C49" s="237">
        <v>3644</v>
      </c>
      <c r="D49" s="237">
        <v>618149</v>
      </c>
      <c r="E49" s="237">
        <v>29852</v>
      </c>
    </row>
    <row r="50" spans="1:5" ht="32.1" customHeight="1">
      <c r="A50" s="236" t="s">
        <v>771</v>
      </c>
      <c r="B50" s="237">
        <v>174358</v>
      </c>
      <c r="C50" s="237">
        <v>706</v>
      </c>
      <c r="D50" s="237">
        <v>159446</v>
      </c>
      <c r="E50" s="237">
        <v>9869</v>
      </c>
    </row>
    <row r="51" spans="1:5" ht="32.1" customHeight="1">
      <c r="A51" s="236" t="s">
        <v>785</v>
      </c>
      <c r="B51" s="237">
        <v>32349</v>
      </c>
      <c r="C51" s="237">
        <v>125</v>
      </c>
      <c r="D51" s="237">
        <v>28301</v>
      </c>
      <c r="E51" s="237">
        <v>369</v>
      </c>
    </row>
    <row r="52" spans="1:5" ht="32.1" customHeight="1">
      <c r="A52" s="236" t="s">
        <v>796</v>
      </c>
      <c r="B52" s="237">
        <v>120</v>
      </c>
      <c r="C52" s="237">
        <v>1</v>
      </c>
      <c r="D52" s="237">
        <v>25</v>
      </c>
      <c r="E52" s="237">
        <v>0</v>
      </c>
    </row>
    <row r="53" spans="1:5" ht="32.1" customHeight="1">
      <c r="A53" s="236" t="s">
        <v>668</v>
      </c>
      <c r="B53" s="237">
        <v>0</v>
      </c>
      <c r="C53" s="237">
        <v>63</v>
      </c>
      <c r="D53" s="237">
        <v>0</v>
      </c>
      <c r="E53" s="237">
        <v>1342</v>
      </c>
    </row>
    <row r="54" spans="1:5" ht="32.1" customHeight="1">
      <c r="A54" s="236" t="s">
        <v>669</v>
      </c>
      <c r="B54" s="237">
        <v>0</v>
      </c>
      <c r="C54" s="237">
        <v>4</v>
      </c>
      <c r="D54" s="237">
        <v>0</v>
      </c>
      <c r="E54" s="237">
        <v>63</v>
      </c>
    </row>
    <row r="55" spans="1:5" ht="32.1" customHeight="1">
      <c r="A55" s="236" t="s">
        <v>786</v>
      </c>
      <c r="B55" s="237">
        <v>50000</v>
      </c>
      <c r="C55" s="237">
        <v>200</v>
      </c>
      <c r="D55" s="237">
        <v>35704</v>
      </c>
      <c r="E55" s="237">
        <v>2077</v>
      </c>
    </row>
    <row r="56" spans="1:5" ht="32.1" customHeight="1">
      <c r="A56" s="236" t="s">
        <v>671</v>
      </c>
      <c r="B56" s="237">
        <v>25628</v>
      </c>
      <c r="C56" s="237">
        <v>248</v>
      </c>
      <c r="D56" s="237">
        <v>13576</v>
      </c>
      <c r="E56" s="237">
        <v>158</v>
      </c>
    </row>
    <row r="57" spans="1:5" ht="32.1" customHeight="1">
      <c r="A57" s="236" t="s">
        <v>672</v>
      </c>
      <c r="B57" s="237">
        <v>0</v>
      </c>
      <c r="C57" s="237">
        <v>502</v>
      </c>
      <c r="D57" s="237">
        <v>0</v>
      </c>
      <c r="E57" s="237">
        <v>4908</v>
      </c>
    </row>
    <row r="58" spans="1:5" ht="32.1" customHeight="1">
      <c r="A58" s="236" t="s">
        <v>673</v>
      </c>
      <c r="B58" s="237">
        <v>376610</v>
      </c>
      <c r="C58" s="237">
        <v>814</v>
      </c>
      <c r="D58" s="237">
        <v>298459</v>
      </c>
      <c r="E58" s="237">
        <v>20577</v>
      </c>
    </row>
    <row r="59" spans="1:5" ht="32.1" customHeight="1">
      <c r="A59" s="236" t="s">
        <v>674</v>
      </c>
      <c r="B59" s="237">
        <v>431338</v>
      </c>
      <c r="C59" s="237">
        <v>1828</v>
      </c>
      <c r="D59" s="237">
        <v>360624</v>
      </c>
      <c r="E59" s="237">
        <v>11182</v>
      </c>
    </row>
    <row r="60" spans="1:5" ht="32.1" customHeight="1">
      <c r="A60" s="236" t="s">
        <v>726</v>
      </c>
      <c r="B60" s="237">
        <v>0</v>
      </c>
      <c r="C60" s="237">
        <v>10</v>
      </c>
      <c r="D60" s="237">
        <v>0</v>
      </c>
      <c r="E60" s="237">
        <v>209</v>
      </c>
    </row>
    <row r="61" spans="1:5" ht="32.1" customHeight="1">
      <c r="A61" s="236" t="s">
        <v>676</v>
      </c>
      <c r="B61" s="237">
        <v>234108</v>
      </c>
      <c r="C61" s="237">
        <v>1376</v>
      </c>
      <c r="D61" s="237">
        <v>187951</v>
      </c>
      <c r="E61" s="237">
        <v>3318</v>
      </c>
    </row>
    <row r="62" spans="1:5" ht="32.1" customHeight="1">
      <c r="A62" s="236" t="s">
        <v>677</v>
      </c>
      <c r="B62" s="237">
        <v>0</v>
      </c>
      <c r="C62" s="237">
        <v>297</v>
      </c>
      <c r="D62" s="237">
        <v>0</v>
      </c>
      <c r="E62" s="237">
        <v>10764</v>
      </c>
    </row>
    <row r="63" spans="1:5" ht="32.1" customHeight="1">
      <c r="A63" s="236" t="s">
        <v>679</v>
      </c>
      <c r="B63" s="237">
        <v>82078</v>
      </c>
      <c r="C63" s="237">
        <v>374</v>
      </c>
      <c r="D63" s="237">
        <v>55982</v>
      </c>
      <c r="E63" s="237">
        <v>1828</v>
      </c>
    </row>
    <row r="64" spans="1:5" ht="32.1" customHeight="1">
      <c r="A64" s="236" t="s">
        <v>727</v>
      </c>
      <c r="B64" s="237">
        <v>691795</v>
      </c>
      <c r="C64" s="237">
        <v>1835</v>
      </c>
      <c r="D64" s="237">
        <v>429873</v>
      </c>
      <c r="E64" s="237">
        <v>10938</v>
      </c>
    </row>
    <row r="65" spans="1:5" ht="32.1" customHeight="1">
      <c r="A65" s="236" t="s">
        <v>728</v>
      </c>
      <c r="B65" s="237">
        <v>0</v>
      </c>
      <c r="C65" s="237">
        <v>1290</v>
      </c>
      <c r="D65" s="237">
        <v>0</v>
      </c>
      <c r="E65" s="237">
        <v>40295</v>
      </c>
    </row>
    <row r="66" spans="1:5" ht="32.1" customHeight="1">
      <c r="A66" s="236" t="s">
        <v>681</v>
      </c>
      <c r="B66" s="237">
        <v>176612</v>
      </c>
      <c r="C66" s="237">
        <v>724</v>
      </c>
      <c r="D66" s="237">
        <v>162893</v>
      </c>
      <c r="E66" s="237">
        <v>9804</v>
      </c>
    </row>
    <row r="67" spans="1:5" ht="32.1" customHeight="1">
      <c r="A67" s="236" t="s">
        <v>682</v>
      </c>
      <c r="B67" s="237">
        <v>0</v>
      </c>
      <c r="C67" s="237">
        <v>612</v>
      </c>
      <c r="D67" s="237">
        <v>0</v>
      </c>
      <c r="E67" s="237">
        <v>19627</v>
      </c>
    </row>
    <row r="68" spans="1:5" ht="32.1" customHeight="1">
      <c r="A68" s="236" t="s">
        <v>772</v>
      </c>
      <c r="B68" s="237">
        <v>71280</v>
      </c>
      <c r="C68" s="237">
        <v>264</v>
      </c>
      <c r="D68" s="237">
        <v>28181</v>
      </c>
      <c r="E68" s="237">
        <v>845</v>
      </c>
    </row>
    <row r="69" spans="1:5" ht="32.1" customHeight="1">
      <c r="A69" s="236" t="s">
        <v>729</v>
      </c>
      <c r="B69" s="237">
        <v>190576</v>
      </c>
      <c r="C69" s="237">
        <v>730</v>
      </c>
      <c r="D69" s="237">
        <v>160142</v>
      </c>
      <c r="E69" s="237">
        <v>11845</v>
      </c>
    </row>
    <row r="70" spans="1:5" ht="32.1" customHeight="1">
      <c r="A70" s="236" t="s">
        <v>755</v>
      </c>
      <c r="B70" s="237">
        <v>155100</v>
      </c>
      <c r="C70" s="237">
        <v>720</v>
      </c>
      <c r="D70" s="237">
        <v>125036</v>
      </c>
      <c r="E70" s="237">
        <v>9439</v>
      </c>
    </row>
    <row r="71" spans="1:5" ht="32.1" customHeight="1">
      <c r="A71" s="236" t="s">
        <v>684</v>
      </c>
      <c r="B71" s="237">
        <v>242730</v>
      </c>
      <c r="C71" s="237">
        <v>1938</v>
      </c>
      <c r="D71" s="237">
        <v>152092</v>
      </c>
      <c r="E71" s="237">
        <v>2334</v>
      </c>
    </row>
    <row r="72" spans="1:5" ht="32.1" customHeight="1">
      <c r="A72" s="236" t="s">
        <v>730</v>
      </c>
      <c r="B72" s="237">
        <v>4536</v>
      </c>
      <c r="C72" s="237">
        <v>17</v>
      </c>
      <c r="D72" s="237">
        <v>3986</v>
      </c>
      <c r="E72" s="237">
        <v>53</v>
      </c>
    </row>
    <row r="73" spans="1:5" ht="32.1" customHeight="1">
      <c r="A73" s="236" t="s">
        <v>787</v>
      </c>
      <c r="B73" s="237">
        <v>153314</v>
      </c>
      <c r="C73" s="237">
        <v>835</v>
      </c>
      <c r="D73" s="237">
        <v>139081</v>
      </c>
      <c r="E73" s="237">
        <v>1453</v>
      </c>
    </row>
    <row r="74" spans="1:5" ht="32.1" customHeight="1">
      <c r="A74" s="236" t="s">
        <v>685</v>
      </c>
      <c r="B74" s="237">
        <v>60833</v>
      </c>
      <c r="C74" s="237">
        <v>245</v>
      </c>
      <c r="D74" s="237">
        <v>52019</v>
      </c>
      <c r="E74" s="237">
        <v>1639</v>
      </c>
    </row>
    <row r="75" spans="1:5" ht="32.1" customHeight="1">
      <c r="A75" s="236" t="s">
        <v>756</v>
      </c>
      <c r="B75" s="237">
        <v>3135</v>
      </c>
      <c r="C75" s="237">
        <v>19</v>
      </c>
      <c r="D75" s="237">
        <v>2581</v>
      </c>
      <c r="E75" s="237">
        <v>41</v>
      </c>
    </row>
    <row r="76" spans="1:5" ht="32.1" customHeight="1">
      <c r="A76" s="236" t="s">
        <v>797</v>
      </c>
      <c r="B76" s="237">
        <v>0</v>
      </c>
      <c r="C76" s="237">
        <v>86</v>
      </c>
      <c r="D76" s="237">
        <v>0</v>
      </c>
      <c r="E76" s="237">
        <v>4179</v>
      </c>
    </row>
    <row r="77" spans="1:5" ht="32.1" customHeight="1">
      <c r="A77" s="236" t="s">
        <v>687</v>
      </c>
      <c r="B77" s="237">
        <v>466237</v>
      </c>
      <c r="C77" s="237">
        <v>1968</v>
      </c>
      <c r="D77" s="237">
        <v>395947</v>
      </c>
      <c r="E77" s="237">
        <v>13023</v>
      </c>
    </row>
    <row r="78" spans="1:5" ht="32.1" customHeight="1">
      <c r="A78" s="236" t="s">
        <v>688</v>
      </c>
      <c r="B78" s="237">
        <v>6200</v>
      </c>
      <c r="C78" s="237">
        <v>40</v>
      </c>
      <c r="D78" s="237">
        <v>4830</v>
      </c>
      <c r="E78" s="237">
        <v>66</v>
      </c>
    </row>
    <row r="79" spans="1:5" ht="32.1" customHeight="1">
      <c r="A79" s="236" t="s">
        <v>689</v>
      </c>
      <c r="B79" s="237">
        <v>0</v>
      </c>
      <c r="C79" s="237">
        <v>3666</v>
      </c>
      <c r="D79" s="237">
        <v>0</v>
      </c>
      <c r="E79" s="237">
        <v>42274</v>
      </c>
    </row>
    <row r="80" spans="1:5" ht="32.1" customHeight="1">
      <c r="A80" s="236" t="s">
        <v>731</v>
      </c>
      <c r="B80" s="237">
        <v>104960</v>
      </c>
      <c r="C80" s="237">
        <v>410</v>
      </c>
      <c r="D80" s="237">
        <v>69383</v>
      </c>
      <c r="E80" s="237">
        <v>3153</v>
      </c>
    </row>
    <row r="81" spans="1:5" ht="32.1" customHeight="1">
      <c r="A81" s="236" t="s">
        <v>692</v>
      </c>
      <c r="B81" s="237">
        <v>866177</v>
      </c>
      <c r="C81" s="237">
        <v>4551</v>
      </c>
      <c r="D81" s="237">
        <v>735287</v>
      </c>
      <c r="E81" s="237">
        <v>18457</v>
      </c>
    </row>
    <row r="82" spans="1:5" ht="32.1" customHeight="1">
      <c r="A82" s="236" t="s">
        <v>694</v>
      </c>
      <c r="B82" s="237">
        <v>510180</v>
      </c>
      <c r="C82" s="237">
        <v>2190</v>
      </c>
      <c r="D82" s="237">
        <v>406709</v>
      </c>
      <c r="E82" s="237">
        <v>7559</v>
      </c>
    </row>
    <row r="83" spans="1:5" ht="32.1" customHeight="1">
      <c r="A83" s="236" t="s">
        <v>775</v>
      </c>
      <c r="B83" s="237">
        <v>11552</v>
      </c>
      <c r="C83" s="237">
        <v>52</v>
      </c>
      <c r="D83" s="237">
        <v>8011</v>
      </c>
      <c r="E83" s="237">
        <v>253</v>
      </c>
    </row>
    <row r="84" spans="1:5" ht="32.1" customHeight="1">
      <c r="A84" s="236" t="s">
        <v>696</v>
      </c>
      <c r="B84" s="237">
        <v>1715776</v>
      </c>
      <c r="C84" s="237">
        <v>9370</v>
      </c>
      <c r="D84" s="237">
        <v>1258620</v>
      </c>
      <c r="E84" s="237">
        <v>28905</v>
      </c>
    </row>
    <row r="85" spans="1:5" ht="32.1" customHeight="1">
      <c r="A85" s="236" t="s">
        <v>776</v>
      </c>
      <c r="B85" s="237">
        <v>152182</v>
      </c>
      <c r="C85" s="237">
        <v>965</v>
      </c>
      <c r="D85" s="237">
        <v>123675</v>
      </c>
      <c r="E85" s="237">
        <v>1285</v>
      </c>
    </row>
    <row r="86" spans="1:5" ht="32.1" customHeight="1">
      <c r="A86" s="236" t="s">
        <v>697</v>
      </c>
      <c r="B86" s="237">
        <v>2633311</v>
      </c>
      <c r="C86" s="237">
        <v>15936</v>
      </c>
      <c r="D86" s="237">
        <v>2028321</v>
      </c>
      <c r="E86" s="237">
        <v>44190</v>
      </c>
    </row>
    <row r="87" spans="1:5" ht="32.1" customHeight="1">
      <c r="A87" s="236" t="s">
        <v>698</v>
      </c>
      <c r="B87" s="237">
        <v>3051428</v>
      </c>
      <c r="C87" s="237">
        <v>16973</v>
      </c>
      <c r="D87" s="237">
        <v>2342106</v>
      </c>
      <c r="E87" s="237">
        <v>49284</v>
      </c>
    </row>
    <row r="88" spans="1:5" ht="32.1" customHeight="1">
      <c r="A88" s="236" t="s">
        <v>699</v>
      </c>
      <c r="B88" s="237">
        <v>238318</v>
      </c>
      <c r="C88" s="237">
        <v>1448</v>
      </c>
      <c r="D88" s="237">
        <v>181919</v>
      </c>
      <c r="E88" s="237">
        <v>3475</v>
      </c>
    </row>
    <row r="89" spans="1:5" ht="32.1" customHeight="1">
      <c r="A89" s="236" t="s">
        <v>700</v>
      </c>
      <c r="B89" s="237">
        <v>0</v>
      </c>
      <c r="C89" s="237">
        <v>468</v>
      </c>
      <c r="D89" s="237">
        <v>0</v>
      </c>
      <c r="E89" s="237">
        <v>1865</v>
      </c>
    </row>
    <row r="90" spans="1:5" ht="32.1" customHeight="1">
      <c r="A90" s="236" t="s">
        <v>701</v>
      </c>
      <c r="B90" s="237">
        <v>189086</v>
      </c>
      <c r="C90" s="237">
        <v>1125</v>
      </c>
      <c r="D90" s="237">
        <v>150213</v>
      </c>
      <c r="E90" s="237">
        <v>2400</v>
      </c>
    </row>
    <row r="91" spans="1:5" ht="32.1" customHeight="1">
      <c r="A91" s="236" t="s">
        <v>702</v>
      </c>
      <c r="B91" s="237">
        <v>0</v>
      </c>
      <c r="C91" s="237">
        <v>562</v>
      </c>
      <c r="D91" s="237">
        <v>0</v>
      </c>
      <c r="E91" s="237">
        <v>31888</v>
      </c>
    </row>
    <row r="92" spans="1:5" ht="32.1" customHeight="1">
      <c r="A92" s="236" t="s">
        <v>703</v>
      </c>
      <c r="B92" s="237">
        <v>666613</v>
      </c>
      <c r="C92" s="237">
        <v>3338</v>
      </c>
      <c r="D92" s="237">
        <v>546848</v>
      </c>
      <c r="E92" s="237">
        <v>14239</v>
      </c>
    </row>
    <row r="93" spans="1:5" ht="32.1" customHeight="1">
      <c r="A93" s="236" t="s">
        <v>757</v>
      </c>
      <c r="B93" s="237">
        <v>157416</v>
      </c>
      <c r="C93" s="237">
        <v>890</v>
      </c>
      <c r="D93" s="237">
        <v>128054</v>
      </c>
      <c r="E93" s="237">
        <v>1483</v>
      </c>
    </row>
    <row r="94" spans="1:5" ht="32.1" customHeight="1">
      <c r="A94" s="236" t="s">
        <v>778</v>
      </c>
      <c r="B94" s="237">
        <v>111228</v>
      </c>
      <c r="C94" s="237">
        <v>403</v>
      </c>
      <c r="D94" s="237">
        <v>94951</v>
      </c>
      <c r="E94" s="237">
        <v>4533</v>
      </c>
    </row>
    <row r="95" spans="1:5" ht="32.1" customHeight="1">
      <c r="A95" s="236" t="s">
        <v>779</v>
      </c>
      <c r="B95" s="237">
        <v>570442</v>
      </c>
      <c r="C95" s="237">
        <v>3172</v>
      </c>
      <c r="D95" s="237">
        <v>507634</v>
      </c>
      <c r="E95" s="237">
        <v>5022</v>
      </c>
    </row>
    <row r="96" spans="1:5" ht="32.1" customHeight="1">
      <c r="A96" s="236" t="s">
        <v>704</v>
      </c>
      <c r="B96" s="237">
        <v>0</v>
      </c>
      <c r="C96" s="237">
        <v>304</v>
      </c>
      <c r="D96" s="237">
        <v>0</v>
      </c>
      <c r="E96" s="237">
        <v>13252</v>
      </c>
    </row>
    <row r="97" spans="1:5" ht="32.1" customHeight="1">
      <c r="A97" s="236" t="s">
        <v>705</v>
      </c>
      <c r="B97" s="237">
        <v>275533</v>
      </c>
      <c r="C97" s="237">
        <v>1144</v>
      </c>
      <c r="D97" s="237">
        <v>231861</v>
      </c>
      <c r="E97" s="237">
        <v>42502</v>
      </c>
    </row>
    <row r="98" spans="1:5" ht="32.1" customHeight="1">
      <c r="A98" s="236" t="s">
        <v>706</v>
      </c>
      <c r="B98" s="237">
        <v>0</v>
      </c>
      <c r="C98" s="237">
        <v>320</v>
      </c>
      <c r="D98" s="237">
        <v>0</v>
      </c>
      <c r="E98" s="237">
        <v>22930</v>
      </c>
    </row>
    <row r="99" spans="1:5" ht="32.1" customHeight="1">
      <c r="A99" s="236" t="s">
        <v>798</v>
      </c>
      <c r="B99" s="237">
        <v>5800</v>
      </c>
      <c r="C99" s="237">
        <v>32</v>
      </c>
      <c r="D99" s="237">
        <v>4870</v>
      </c>
      <c r="E99" s="237">
        <v>42</v>
      </c>
    </row>
    <row r="100" spans="1:5" ht="32.1" customHeight="1">
      <c r="A100" s="236" t="s">
        <v>707</v>
      </c>
      <c r="B100" s="237">
        <v>1278112</v>
      </c>
      <c r="C100" s="237">
        <v>4455</v>
      </c>
      <c r="D100" s="237">
        <v>1038164</v>
      </c>
      <c r="E100" s="237">
        <v>51520</v>
      </c>
    </row>
    <row r="101" spans="1:5" ht="32.1" customHeight="1">
      <c r="A101" s="236" t="s">
        <v>708</v>
      </c>
      <c r="B101" s="237">
        <v>178840</v>
      </c>
      <c r="C101" s="237">
        <v>1028</v>
      </c>
      <c r="D101" s="237">
        <v>133219</v>
      </c>
      <c r="E101" s="237">
        <v>1977</v>
      </c>
    </row>
    <row r="102" spans="1:5" ht="32.1" customHeight="1">
      <c r="A102" s="236" t="s">
        <v>788</v>
      </c>
      <c r="B102" s="237">
        <v>328744</v>
      </c>
      <c r="C102" s="237">
        <v>872</v>
      </c>
      <c r="D102" s="237">
        <v>251936</v>
      </c>
      <c r="E102" s="237">
        <v>6034</v>
      </c>
    </row>
    <row r="103" spans="1:5" ht="32.1" customHeight="1">
      <c r="A103" s="236" t="s">
        <v>709</v>
      </c>
      <c r="B103" s="237">
        <v>1361513</v>
      </c>
      <c r="C103" s="237">
        <v>4210</v>
      </c>
      <c r="D103" s="237">
        <v>969115</v>
      </c>
      <c r="E103" s="237">
        <v>42015</v>
      </c>
    </row>
    <row r="104" spans="1:5" ht="32.1" customHeight="1">
      <c r="A104" s="236" t="s">
        <v>710</v>
      </c>
      <c r="B104" s="237">
        <v>348699</v>
      </c>
      <c r="C104" s="237">
        <v>1317</v>
      </c>
      <c r="D104" s="237">
        <v>266044</v>
      </c>
      <c r="E104" s="237">
        <v>21002</v>
      </c>
    </row>
    <row r="105" spans="1:5" ht="32.1" customHeight="1">
      <c r="A105" s="236" t="s">
        <v>711</v>
      </c>
      <c r="B105" s="237">
        <v>0</v>
      </c>
      <c r="C105" s="237">
        <v>2</v>
      </c>
      <c r="D105" s="237">
        <v>0</v>
      </c>
      <c r="E105" s="237">
        <v>13</v>
      </c>
    </row>
    <row r="106" spans="1:5" ht="32.1" customHeight="1">
      <c r="A106" s="236" t="s">
        <v>712</v>
      </c>
      <c r="B106" s="237">
        <v>0</v>
      </c>
      <c r="C106" s="237">
        <v>2538</v>
      </c>
      <c r="D106" s="237">
        <v>0</v>
      </c>
      <c r="E106" s="237">
        <v>55288</v>
      </c>
    </row>
    <row r="107" spans="1:5" ht="32.1" customHeight="1">
      <c r="A107" s="236" t="s">
        <v>713</v>
      </c>
      <c r="B107" s="237">
        <v>0</v>
      </c>
      <c r="C107" s="237">
        <v>3771</v>
      </c>
      <c r="D107" s="237">
        <v>0</v>
      </c>
      <c r="E107" s="237">
        <v>91511</v>
      </c>
    </row>
    <row r="108" spans="1:5" ht="32.1" customHeight="1">
      <c r="A108" s="236" t="s">
        <v>715</v>
      </c>
      <c r="B108" s="237">
        <v>259296</v>
      </c>
      <c r="C108" s="237">
        <v>738</v>
      </c>
      <c r="D108" s="237">
        <v>199652</v>
      </c>
      <c r="E108" s="237">
        <v>15357</v>
      </c>
    </row>
    <row r="109" spans="1:5" ht="32.1" customHeight="1">
      <c r="A109" s="236" t="s">
        <v>759</v>
      </c>
      <c r="B109" s="237">
        <v>569520</v>
      </c>
      <c r="C109" s="237">
        <v>3164</v>
      </c>
      <c r="D109" s="237">
        <v>499088</v>
      </c>
      <c r="E109" s="237">
        <v>2585</v>
      </c>
    </row>
    <row r="110" spans="1:5" ht="32.1" customHeight="1">
      <c r="A110" s="236" t="s">
        <v>716</v>
      </c>
      <c r="B110" s="237">
        <v>211538</v>
      </c>
      <c r="C110" s="237">
        <v>718</v>
      </c>
      <c r="D110" s="237">
        <v>169426</v>
      </c>
      <c r="E110" s="237">
        <v>11435</v>
      </c>
    </row>
    <row r="111" spans="1:5" ht="32.1" customHeight="1">
      <c r="A111" s="236" t="s">
        <v>717</v>
      </c>
      <c r="B111" s="237">
        <v>593978</v>
      </c>
      <c r="C111" s="237">
        <v>3304</v>
      </c>
      <c r="D111" s="237">
        <v>432989</v>
      </c>
      <c r="E111" s="237">
        <v>4801</v>
      </c>
    </row>
    <row r="112" spans="1:5" ht="32.1" customHeight="1">
      <c r="A112" s="236" t="s">
        <v>718</v>
      </c>
      <c r="B112" s="237">
        <v>988013</v>
      </c>
      <c r="C112" s="237">
        <v>4567</v>
      </c>
      <c r="D112" s="237">
        <v>832845</v>
      </c>
      <c r="E112" s="237">
        <v>13474</v>
      </c>
    </row>
    <row r="113" spans="1:5" ht="32.1" customHeight="1">
      <c r="A113" s="236" t="s">
        <v>745</v>
      </c>
      <c r="B113" s="237">
        <v>153468</v>
      </c>
      <c r="C113" s="237">
        <v>522</v>
      </c>
      <c r="D113" s="237">
        <v>136112</v>
      </c>
      <c r="E113" s="237">
        <v>4726</v>
      </c>
    </row>
    <row r="114" spans="1:5" ht="32.1" customHeight="1">
      <c r="A114" s="236" t="s">
        <v>720</v>
      </c>
      <c r="B114" s="237">
        <v>401780</v>
      </c>
      <c r="C114" s="237">
        <v>2276</v>
      </c>
      <c r="D114" s="237">
        <v>324355</v>
      </c>
      <c r="E114" s="237">
        <v>4320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ADFA-66D3-4613-931C-4A2B7C6F5DAA}">
  <dimension ref="A1:H21"/>
  <sheetViews>
    <sheetView workbookViewId="0">
      <selection activeCell="E6" sqref="E6"/>
    </sheetView>
  </sheetViews>
  <sheetFormatPr defaultRowHeight="16.5"/>
  <cols>
    <col min="1" max="1" width="16.875" customWidth="1"/>
    <col min="2" max="2" width="24.625" customWidth="1"/>
    <col min="3" max="3" width="20.875" customWidth="1"/>
    <col min="4" max="4" width="18.25" customWidth="1"/>
    <col min="5" max="5" width="17.125" customWidth="1"/>
    <col min="6" max="8" width="23.25" customWidth="1"/>
    <col min="9" max="9" width="10" bestFit="1" customWidth="1"/>
    <col min="10" max="10" width="14.375" bestFit="1" customWidth="1"/>
  </cols>
  <sheetData>
    <row r="1" spans="1:8" ht="33">
      <c r="A1" s="8" t="s">
        <v>225</v>
      </c>
      <c r="B1" s="4" t="s">
        <v>226</v>
      </c>
      <c r="C1" s="4" t="s">
        <v>227</v>
      </c>
      <c r="D1" s="4" t="s">
        <v>228</v>
      </c>
      <c r="E1" s="4" t="s">
        <v>229</v>
      </c>
      <c r="F1" s="4" t="s">
        <v>230</v>
      </c>
      <c r="G1" s="4" t="s">
        <v>231</v>
      </c>
      <c r="H1" s="4" t="s">
        <v>232</v>
      </c>
    </row>
    <row r="2" spans="1:8">
      <c r="A2" s="1" t="s">
        <v>1</v>
      </c>
      <c r="B2" s="12">
        <v>63750.17917891738</v>
      </c>
      <c r="C2" s="12">
        <v>37583.975094495479</v>
      </c>
      <c r="D2" s="12">
        <v>7863874.8584673926</v>
      </c>
      <c r="E2" s="12">
        <v>4673131.4869109076</v>
      </c>
      <c r="F2" s="12">
        <v>363483.18862196186</v>
      </c>
      <c r="G2" s="12">
        <v>1352441.2970028589</v>
      </c>
      <c r="H2" s="12">
        <v>3651.0147234652754</v>
      </c>
    </row>
    <row r="3" spans="1:8">
      <c r="A3" s="1" t="s">
        <v>2</v>
      </c>
      <c r="B3" s="12">
        <v>25003.820821082623</v>
      </c>
      <c r="C3" s="12">
        <v>14666.992574933529</v>
      </c>
      <c r="D3" s="12">
        <v>3068845.0029395702</v>
      </c>
      <c r="E3" s="12">
        <v>1823670.4512463559</v>
      </c>
      <c r="F3" s="12">
        <v>141847.82783693049</v>
      </c>
      <c r="G3" s="12">
        <v>527784.68512979639</v>
      </c>
      <c r="H3" s="12">
        <v>1424.7935644221143</v>
      </c>
    </row>
    <row r="4" spans="1:8">
      <c r="A4" s="1" t="s">
        <v>3</v>
      </c>
      <c r="B4" s="12">
        <v>0</v>
      </c>
      <c r="C4" s="12">
        <v>0</v>
      </c>
      <c r="D4" s="12">
        <v>0</v>
      </c>
      <c r="E4" s="12">
        <v>822</v>
      </c>
      <c r="F4" s="12">
        <v>0</v>
      </c>
      <c r="G4" s="12">
        <v>0</v>
      </c>
      <c r="H4" s="12">
        <v>0</v>
      </c>
    </row>
    <row r="5" spans="1:8">
      <c r="A5" s="1" t="s">
        <v>4</v>
      </c>
      <c r="B5" s="12">
        <v>1046.875</v>
      </c>
      <c r="C5" s="12">
        <v>0</v>
      </c>
      <c r="D5" s="12">
        <v>0</v>
      </c>
      <c r="E5" s="12">
        <v>669.83333333333326</v>
      </c>
      <c r="F5" s="12">
        <v>0</v>
      </c>
      <c r="G5" s="12">
        <v>0</v>
      </c>
      <c r="H5" s="12">
        <v>0</v>
      </c>
    </row>
    <row r="6" spans="1:8">
      <c r="A6" s="1" t="s">
        <v>5</v>
      </c>
      <c r="B6" s="12">
        <v>0</v>
      </c>
      <c r="C6" s="12">
        <v>0</v>
      </c>
      <c r="D6" s="12">
        <v>0.4823245691429916</v>
      </c>
      <c r="E6" s="12">
        <v>328</v>
      </c>
      <c r="F6" s="12">
        <v>0</v>
      </c>
      <c r="G6" s="12">
        <v>0.19292982765719663</v>
      </c>
      <c r="H6" s="12">
        <v>0</v>
      </c>
    </row>
    <row r="7" spans="1:8">
      <c r="A7" s="1" t="s">
        <v>6</v>
      </c>
      <c r="B7" s="12">
        <v>0</v>
      </c>
      <c r="C7" s="12">
        <v>0</v>
      </c>
      <c r="D7" s="12">
        <v>2236895</v>
      </c>
      <c r="E7" s="12">
        <v>0</v>
      </c>
      <c r="F7" s="12">
        <v>0</v>
      </c>
      <c r="G7" s="12">
        <v>0</v>
      </c>
      <c r="H7" s="12">
        <v>0</v>
      </c>
    </row>
    <row r="9" spans="1:8">
      <c r="A9" s="125"/>
      <c r="B9" s="126"/>
      <c r="C9" s="126"/>
      <c r="D9" s="126"/>
      <c r="E9" s="126"/>
      <c r="F9" s="126"/>
      <c r="G9" s="126"/>
      <c r="H9" s="126"/>
    </row>
    <row r="10" spans="1:8">
      <c r="A10" s="125"/>
      <c r="B10" s="5"/>
      <c r="C10" s="5"/>
      <c r="D10" s="5"/>
      <c r="E10" s="5"/>
      <c r="F10" s="5"/>
      <c r="G10" s="5"/>
      <c r="H10" s="5"/>
    </row>
    <row r="11" spans="1:8">
      <c r="A11" s="125"/>
      <c r="B11" s="5"/>
      <c r="C11" s="5"/>
      <c r="D11" s="5"/>
      <c r="E11" s="5"/>
      <c r="F11" s="5"/>
      <c r="G11" s="5"/>
      <c r="H11" s="5"/>
    </row>
    <row r="12" spans="1:8">
      <c r="A12" s="125"/>
      <c r="B12" s="5"/>
      <c r="C12" s="5"/>
      <c r="D12" s="5"/>
      <c r="E12" s="5"/>
      <c r="F12" s="5"/>
      <c r="G12" s="5"/>
      <c r="H12" s="5"/>
    </row>
    <row r="13" spans="1:8">
      <c r="A13" s="125"/>
      <c r="B13" s="5"/>
      <c r="C13" s="5"/>
      <c r="D13" s="5"/>
      <c r="E13" s="5"/>
      <c r="F13" s="5"/>
      <c r="G13" s="5"/>
      <c r="H13" s="5"/>
    </row>
    <row r="14" spans="1:8">
      <c r="A14" s="125"/>
      <c r="B14" s="5"/>
      <c r="C14" s="5"/>
      <c r="D14" s="5"/>
      <c r="E14" s="5"/>
      <c r="F14" s="5"/>
      <c r="G14" s="5"/>
      <c r="H14" s="5"/>
    </row>
    <row r="15" spans="1:8">
      <c r="A15" s="125"/>
      <c r="B15" s="5"/>
      <c r="C15" s="5"/>
      <c r="D15" s="5"/>
      <c r="E15" s="5"/>
      <c r="F15" s="5"/>
      <c r="G15" s="5"/>
      <c r="H15" s="5"/>
    </row>
    <row r="17" spans="2:8">
      <c r="B17" s="127"/>
      <c r="C17" s="127"/>
      <c r="D17" s="127"/>
      <c r="E17" s="127"/>
      <c r="F17" s="127"/>
      <c r="G17" s="127"/>
      <c r="H17" s="127"/>
    </row>
    <row r="18" spans="2:8">
      <c r="B18" s="127"/>
      <c r="C18" s="127"/>
      <c r="D18" s="127"/>
      <c r="E18" s="127"/>
      <c r="F18" s="127"/>
      <c r="G18" s="127"/>
      <c r="H18" s="127"/>
    </row>
    <row r="19" spans="2:8">
      <c r="B19" s="127"/>
      <c r="C19" s="127"/>
      <c r="D19" s="127"/>
      <c r="E19" s="127"/>
      <c r="F19" s="127"/>
      <c r="G19" s="127"/>
      <c r="H19" s="127"/>
    </row>
    <row r="20" spans="2:8">
      <c r="B20" s="127"/>
      <c r="C20" s="127"/>
      <c r="D20" s="127"/>
      <c r="E20" s="127"/>
      <c r="F20" s="127"/>
      <c r="G20" s="127"/>
      <c r="H20" s="127"/>
    </row>
    <row r="21" spans="2:8">
      <c r="B21" s="127"/>
      <c r="C21" s="127"/>
      <c r="D21" s="127"/>
      <c r="E21" s="127"/>
      <c r="F21" s="127"/>
      <c r="G21" s="127"/>
      <c r="H21" s="127"/>
    </row>
  </sheetData>
  <phoneticPr fontId="4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D8E2-9B60-47AE-8887-E24745082470}">
  <dimension ref="A1:E118"/>
  <sheetViews>
    <sheetView workbookViewId="0">
      <selection sqref="A1:E1"/>
    </sheetView>
  </sheetViews>
  <sheetFormatPr defaultColWidth="9" defaultRowHeight="16.5"/>
  <cols>
    <col min="1" max="1" width="48.5" style="14" customWidth="1"/>
    <col min="2" max="3" width="28.375" style="14" customWidth="1"/>
    <col min="4" max="5" width="28.5" style="14" customWidth="1"/>
    <col min="6" max="16384" width="9" style="14"/>
  </cols>
  <sheetData>
    <row r="1" spans="1:5" ht="33.950000000000003" customHeight="1">
      <c r="A1" s="435" t="s">
        <v>799</v>
      </c>
      <c r="B1" s="436"/>
      <c r="C1" s="436"/>
      <c r="D1" s="436"/>
      <c r="E1" s="436"/>
    </row>
    <row r="2" spans="1:5" ht="36.950000000000003" customHeight="1">
      <c r="A2" s="235" t="s">
        <v>624</v>
      </c>
      <c r="B2" s="235" t="s">
        <v>625</v>
      </c>
      <c r="C2" s="235" t="s">
        <v>626</v>
      </c>
      <c r="D2" s="235" t="s">
        <v>340</v>
      </c>
      <c r="E2" s="235" t="s">
        <v>342</v>
      </c>
    </row>
    <row r="3" spans="1:5" ht="32.1" customHeight="1">
      <c r="A3" s="236" t="s">
        <v>627</v>
      </c>
      <c r="B3" s="237">
        <v>126013885</v>
      </c>
      <c r="C3" s="237">
        <v>629859</v>
      </c>
      <c r="D3" s="237">
        <v>104890078</v>
      </c>
      <c r="E3" s="237">
        <v>4073856</v>
      </c>
    </row>
    <row r="4" spans="1:5" ht="32.1" customHeight="1">
      <c r="A4" s="236" t="s">
        <v>628</v>
      </c>
      <c r="B4" s="237">
        <v>94085064</v>
      </c>
      <c r="C4" s="237">
        <v>464495</v>
      </c>
      <c r="D4" s="237">
        <v>78956163</v>
      </c>
      <c r="E4" s="237">
        <v>2886178</v>
      </c>
    </row>
    <row r="5" spans="1:5" ht="32.1" customHeight="1">
      <c r="A5" s="236" t="s">
        <v>629</v>
      </c>
      <c r="B5" s="237">
        <v>34536646</v>
      </c>
      <c r="C5" s="237">
        <v>160543</v>
      </c>
      <c r="D5" s="237">
        <v>27192702</v>
      </c>
      <c r="E5" s="237">
        <v>1670328</v>
      </c>
    </row>
    <row r="6" spans="1:5" ht="32.1" customHeight="1">
      <c r="A6" s="236" t="s">
        <v>630</v>
      </c>
      <c r="B6" s="237">
        <v>23197310</v>
      </c>
      <c r="C6" s="237">
        <v>112503</v>
      </c>
      <c r="D6" s="237">
        <v>19481209</v>
      </c>
      <c r="E6" s="237">
        <v>915418</v>
      </c>
    </row>
    <row r="7" spans="1:5" ht="32.1" customHeight="1">
      <c r="A7" s="236" t="s">
        <v>631</v>
      </c>
      <c r="B7" s="237">
        <v>9783354</v>
      </c>
      <c r="C7" s="237">
        <v>51942</v>
      </c>
      <c r="D7" s="237">
        <v>8777803</v>
      </c>
      <c r="E7" s="237">
        <v>68509</v>
      </c>
    </row>
    <row r="8" spans="1:5" ht="32.1" customHeight="1">
      <c r="A8" s="236" t="s">
        <v>632</v>
      </c>
      <c r="B8" s="237">
        <v>8675464</v>
      </c>
      <c r="C8" s="237">
        <v>40571</v>
      </c>
      <c r="D8" s="237">
        <v>7789237</v>
      </c>
      <c r="E8" s="237">
        <v>80078</v>
      </c>
    </row>
    <row r="9" spans="1:5" ht="32.1" customHeight="1">
      <c r="A9" s="236" t="s">
        <v>633</v>
      </c>
      <c r="B9" s="237">
        <v>6821723</v>
      </c>
      <c r="C9" s="237">
        <v>37290</v>
      </c>
      <c r="D9" s="237">
        <v>5959324</v>
      </c>
      <c r="E9" s="237">
        <v>73102</v>
      </c>
    </row>
    <row r="10" spans="1:5" ht="32.1" customHeight="1">
      <c r="A10" s="236" t="s">
        <v>634</v>
      </c>
      <c r="B10" s="237">
        <v>5278848</v>
      </c>
      <c r="C10" s="237">
        <v>29485</v>
      </c>
      <c r="D10" s="237">
        <v>4653121</v>
      </c>
      <c r="E10" s="237">
        <v>34005</v>
      </c>
    </row>
    <row r="11" spans="1:5" ht="32.1" customHeight="1">
      <c r="A11" s="236" t="s">
        <v>722</v>
      </c>
      <c r="B11" s="237">
        <v>5492106</v>
      </c>
      <c r="C11" s="237">
        <v>29117</v>
      </c>
      <c r="D11" s="237">
        <v>4885964</v>
      </c>
      <c r="E11" s="237">
        <v>33732</v>
      </c>
    </row>
    <row r="12" spans="1:5" ht="32.1" customHeight="1">
      <c r="A12" s="236" t="s">
        <v>762</v>
      </c>
      <c r="B12" s="237">
        <v>0</v>
      </c>
      <c r="C12" s="237">
        <v>1428</v>
      </c>
      <c r="D12" s="237">
        <v>0</v>
      </c>
      <c r="E12" s="237">
        <v>9178</v>
      </c>
    </row>
    <row r="13" spans="1:5" ht="32.1" customHeight="1">
      <c r="A13" s="236" t="s">
        <v>800</v>
      </c>
      <c r="B13" s="237">
        <v>299613</v>
      </c>
      <c r="C13" s="237">
        <v>1616</v>
      </c>
      <c r="D13" s="237">
        <v>216803</v>
      </c>
      <c r="E13" s="237">
        <v>1827</v>
      </c>
    </row>
    <row r="14" spans="1:5" ht="32.1" customHeight="1">
      <c r="A14" s="236" t="s">
        <v>635</v>
      </c>
      <c r="B14" s="237">
        <v>31928821</v>
      </c>
      <c r="C14" s="237">
        <v>165364</v>
      </c>
      <c r="D14" s="237">
        <v>25933915</v>
      </c>
      <c r="E14" s="237">
        <v>1187678</v>
      </c>
    </row>
    <row r="15" spans="1:5" ht="32.1" customHeight="1">
      <c r="A15" s="236" t="s">
        <v>763</v>
      </c>
      <c r="B15" s="237">
        <v>0</v>
      </c>
      <c r="C15" s="237">
        <v>2</v>
      </c>
      <c r="D15" s="237">
        <v>0</v>
      </c>
      <c r="E15" s="237">
        <v>74</v>
      </c>
    </row>
    <row r="16" spans="1:5" ht="32.1" customHeight="1">
      <c r="A16" s="236" t="s">
        <v>791</v>
      </c>
      <c r="B16" s="237">
        <v>66288</v>
      </c>
      <c r="C16" s="237">
        <v>344</v>
      </c>
      <c r="D16" s="237">
        <v>45107</v>
      </c>
      <c r="E16" s="237">
        <v>357</v>
      </c>
    </row>
    <row r="17" spans="1:5" ht="32.1" customHeight="1">
      <c r="A17" s="236" t="s">
        <v>638</v>
      </c>
      <c r="B17" s="237">
        <v>321308</v>
      </c>
      <c r="C17" s="237">
        <v>1330</v>
      </c>
      <c r="D17" s="237">
        <v>231974</v>
      </c>
      <c r="E17" s="237">
        <v>12403</v>
      </c>
    </row>
    <row r="18" spans="1:5" ht="32.1" customHeight="1">
      <c r="A18" s="236" t="s">
        <v>801</v>
      </c>
      <c r="B18" s="237">
        <v>0</v>
      </c>
      <c r="C18" s="237">
        <v>1</v>
      </c>
      <c r="D18" s="237">
        <v>0</v>
      </c>
      <c r="E18" s="237">
        <v>33</v>
      </c>
    </row>
    <row r="19" spans="1:5" ht="32.1" customHeight="1">
      <c r="A19" s="236" t="s">
        <v>641</v>
      </c>
      <c r="B19" s="237">
        <v>221532</v>
      </c>
      <c r="C19" s="237">
        <v>732</v>
      </c>
      <c r="D19" s="237">
        <v>191423</v>
      </c>
      <c r="E19" s="237">
        <v>26246</v>
      </c>
    </row>
    <row r="20" spans="1:5" ht="32.1" customHeight="1">
      <c r="A20" s="236" t="s">
        <v>643</v>
      </c>
      <c r="B20" s="237">
        <v>411654</v>
      </c>
      <c r="C20" s="237">
        <v>1340</v>
      </c>
      <c r="D20" s="237">
        <v>360869</v>
      </c>
      <c r="E20" s="237">
        <v>15185</v>
      </c>
    </row>
    <row r="21" spans="1:5" ht="32.1" customHeight="1">
      <c r="A21" s="236" t="s">
        <v>765</v>
      </c>
      <c r="B21" s="237">
        <v>137370</v>
      </c>
      <c r="C21" s="237">
        <v>931</v>
      </c>
      <c r="D21" s="237">
        <v>87335</v>
      </c>
      <c r="E21" s="237">
        <v>1217</v>
      </c>
    </row>
    <row r="22" spans="1:5" ht="32.1" customHeight="1">
      <c r="A22" s="236" t="s">
        <v>645</v>
      </c>
      <c r="B22" s="237">
        <v>254994</v>
      </c>
      <c r="C22" s="237">
        <v>728</v>
      </c>
      <c r="D22" s="237">
        <v>221840</v>
      </c>
      <c r="E22" s="237">
        <v>6425</v>
      </c>
    </row>
    <row r="23" spans="1:5" ht="32.1" customHeight="1">
      <c r="A23" s="236" t="s">
        <v>793</v>
      </c>
      <c r="B23" s="237">
        <v>42174</v>
      </c>
      <c r="C23" s="237">
        <v>228</v>
      </c>
      <c r="D23" s="237">
        <v>38852</v>
      </c>
      <c r="E23" s="237">
        <v>385</v>
      </c>
    </row>
    <row r="24" spans="1:5" ht="32.1" customHeight="1">
      <c r="A24" s="236" t="s">
        <v>646</v>
      </c>
      <c r="B24" s="237">
        <v>486978</v>
      </c>
      <c r="C24" s="237">
        <v>1311</v>
      </c>
      <c r="D24" s="237">
        <v>393133</v>
      </c>
      <c r="E24" s="237">
        <v>22371</v>
      </c>
    </row>
    <row r="25" spans="1:5" ht="32.1" customHeight="1">
      <c r="A25" s="236" t="s">
        <v>647</v>
      </c>
      <c r="B25" s="237">
        <v>0</v>
      </c>
      <c r="C25" s="237">
        <v>366</v>
      </c>
      <c r="D25" s="237">
        <v>0</v>
      </c>
      <c r="E25" s="237">
        <v>8550</v>
      </c>
    </row>
    <row r="26" spans="1:5" ht="32.1" customHeight="1">
      <c r="A26" s="236" t="s">
        <v>648</v>
      </c>
      <c r="B26" s="237">
        <v>87880</v>
      </c>
      <c r="C26" s="237">
        <v>846</v>
      </c>
      <c r="D26" s="237">
        <v>71453</v>
      </c>
      <c r="E26" s="237">
        <v>935</v>
      </c>
    </row>
    <row r="27" spans="1:5" ht="32.1" customHeight="1">
      <c r="A27" s="236" t="s">
        <v>649</v>
      </c>
      <c r="B27" s="237">
        <v>207866</v>
      </c>
      <c r="C27" s="237">
        <v>732</v>
      </c>
      <c r="D27" s="237">
        <v>174761</v>
      </c>
      <c r="E27" s="237">
        <v>11919</v>
      </c>
    </row>
    <row r="28" spans="1:5" ht="32.1" customHeight="1">
      <c r="A28" s="236" t="s">
        <v>650</v>
      </c>
      <c r="B28" s="237">
        <v>174500</v>
      </c>
      <c r="C28" s="237">
        <v>778</v>
      </c>
      <c r="D28" s="237">
        <v>144424</v>
      </c>
      <c r="E28" s="237">
        <v>4414</v>
      </c>
    </row>
    <row r="29" spans="1:5" ht="32.1" customHeight="1">
      <c r="A29" s="236" t="s">
        <v>651</v>
      </c>
      <c r="B29" s="237">
        <v>0</v>
      </c>
      <c r="C29" s="237">
        <v>14</v>
      </c>
      <c r="D29" s="237">
        <v>0</v>
      </c>
      <c r="E29" s="237">
        <v>166</v>
      </c>
    </row>
    <row r="30" spans="1:5" ht="32.1" customHeight="1">
      <c r="A30" s="236" t="s">
        <v>652</v>
      </c>
      <c r="B30" s="237">
        <v>1356576</v>
      </c>
      <c r="C30" s="237">
        <v>5195</v>
      </c>
      <c r="D30" s="237">
        <v>1112782</v>
      </c>
      <c r="E30" s="237">
        <v>38888</v>
      </c>
    </row>
    <row r="31" spans="1:5" ht="32.1" customHeight="1">
      <c r="A31" s="236" t="s">
        <v>653</v>
      </c>
      <c r="B31" s="237">
        <v>0</v>
      </c>
      <c r="C31" s="237">
        <v>5</v>
      </c>
      <c r="D31" s="237">
        <v>0</v>
      </c>
      <c r="E31" s="237">
        <v>168</v>
      </c>
    </row>
    <row r="32" spans="1:5" ht="32.1" customHeight="1">
      <c r="A32" s="236" t="s">
        <v>654</v>
      </c>
      <c r="B32" s="237">
        <v>65608</v>
      </c>
      <c r="C32" s="237">
        <v>404</v>
      </c>
      <c r="D32" s="237">
        <v>48757</v>
      </c>
      <c r="E32" s="237">
        <v>577</v>
      </c>
    </row>
    <row r="33" spans="1:5" ht="32.1" customHeight="1">
      <c r="A33" s="236" t="s">
        <v>768</v>
      </c>
      <c r="B33" s="237">
        <v>78679</v>
      </c>
      <c r="C33" s="237">
        <v>453</v>
      </c>
      <c r="D33" s="237">
        <v>70783</v>
      </c>
      <c r="E33" s="237">
        <v>748</v>
      </c>
    </row>
    <row r="34" spans="1:5" ht="32.1" customHeight="1">
      <c r="A34" s="236" t="s">
        <v>750</v>
      </c>
      <c r="B34" s="237">
        <v>876</v>
      </c>
      <c r="C34" s="237">
        <v>6</v>
      </c>
      <c r="D34" s="237">
        <v>468</v>
      </c>
      <c r="E34" s="237">
        <v>8</v>
      </c>
    </row>
    <row r="35" spans="1:5" ht="32.1" customHeight="1">
      <c r="A35" s="236" t="s">
        <v>769</v>
      </c>
      <c r="B35" s="237">
        <v>300040</v>
      </c>
      <c r="C35" s="237">
        <v>1660</v>
      </c>
      <c r="D35" s="237">
        <v>242684</v>
      </c>
      <c r="E35" s="237">
        <v>4475</v>
      </c>
    </row>
    <row r="36" spans="1:5" ht="32.1" customHeight="1">
      <c r="A36" s="236" t="s">
        <v>724</v>
      </c>
      <c r="B36" s="237">
        <v>206398</v>
      </c>
      <c r="C36" s="237">
        <v>953</v>
      </c>
      <c r="D36" s="237">
        <v>170150</v>
      </c>
      <c r="E36" s="237">
        <v>2124</v>
      </c>
    </row>
    <row r="37" spans="1:5" ht="32.1" customHeight="1">
      <c r="A37" s="236" t="s">
        <v>658</v>
      </c>
      <c r="B37" s="237">
        <v>849660</v>
      </c>
      <c r="C37" s="237">
        <v>5015</v>
      </c>
      <c r="D37" s="237">
        <v>604901</v>
      </c>
      <c r="E37" s="237">
        <v>10484</v>
      </c>
    </row>
    <row r="38" spans="1:5" ht="32.1" customHeight="1">
      <c r="A38" s="236" t="s">
        <v>659</v>
      </c>
      <c r="B38" s="237">
        <v>501524</v>
      </c>
      <c r="C38" s="237">
        <v>2455</v>
      </c>
      <c r="D38" s="237">
        <v>409552</v>
      </c>
      <c r="E38" s="237">
        <v>6761</v>
      </c>
    </row>
    <row r="39" spans="1:5" ht="32.1" customHeight="1">
      <c r="A39" s="236" t="s">
        <v>660</v>
      </c>
      <c r="B39" s="237">
        <v>407732</v>
      </c>
      <c r="C39" s="237">
        <v>2270</v>
      </c>
      <c r="D39" s="237">
        <v>314457</v>
      </c>
      <c r="E39" s="237">
        <v>4622</v>
      </c>
    </row>
    <row r="40" spans="1:5" ht="32.1" customHeight="1">
      <c r="A40" s="236" t="s">
        <v>802</v>
      </c>
      <c r="B40" s="237">
        <v>0</v>
      </c>
      <c r="C40" s="237">
        <v>37</v>
      </c>
      <c r="D40" s="237">
        <v>0</v>
      </c>
      <c r="E40" s="237">
        <v>820</v>
      </c>
    </row>
    <row r="41" spans="1:5" ht="32.1" customHeight="1">
      <c r="A41" s="236" t="s">
        <v>739</v>
      </c>
      <c r="B41" s="237">
        <v>59786</v>
      </c>
      <c r="C41" s="237">
        <v>310</v>
      </c>
      <c r="D41" s="237">
        <v>48221</v>
      </c>
      <c r="E41" s="237">
        <v>478</v>
      </c>
    </row>
    <row r="42" spans="1:5" ht="32.1" customHeight="1">
      <c r="A42" s="236" t="s">
        <v>770</v>
      </c>
      <c r="B42" s="237">
        <v>133146</v>
      </c>
      <c r="C42" s="237">
        <v>353</v>
      </c>
      <c r="D42" s="237">
        <v>120208</v>
      </c>
      <c r="E42" s="237">
        <v>2738</v>
      </c>
    </row>
    <row r="43" spans="1:5" ht="32.1" customHeight="1">
      <c r="A43" s="236" t="s">
        <v>662</v>
      </c>
      <c r="B43" s="237">
        <v>5250</v>
      </c>
      <c r="C43" s="237">
        <v>35</v>
      </c>
      <c r="D43" s="237">
        <v>4220</v>
      </c>
      <c r="E43" s="237">
        <v>39</v>
      </c>
    </row>
    <row r="44" spans="1:5" ht="32.1" customHeight="1">
      <c r="A44" s="236" t="s">
        <v>663</v>
      </c>
      <c r="B44" s="237">
        <v>72364</v>
      </c>
      <c r="C44" s="237">
        <v>458</v>
      </c>
      <c r="D44" s="237">
        <v>60255</v>
      </c>
      <c r="E44" s="237">
        <v>619</v>
      </c>
    </row>
    <row r="45" spans="1:5" ht="32.1" customHeight="1">
      <c r="A45" s="236" t="s">
        <v>783</v>
      </c>
      <c r="B45" s="237">
        <v>1296</v>
      </c>
      <c r="C45" s="237">
        <v>8</v>
      </c>
      <c r="D45" s="237">
        <v>1038</v>
      </c>
      <c r="E45" s="237">
        <v>17</v>
      </c>
    </row>
    <row r="46" spans="1:5" ht="32.1" customHeight="1">
      <c r="A46" s="236" t="s">
        <v>795</v>
      </c>
      <c r="B46" s="237">
        <v>0</v>
      </c>
      <c r="C46" s="237">
        <v>2</v>
      </c>
      <c r="D46" s="237">
        <v>0</v>
      </c>
      <c r="E46" s="237">
        <v>146</v>
      </c>
    </row>
    <row r="47" spans="1:5" ht="32.1" customHeight="1">
      <c r="A47" s="236" t="s">
        <v>784</v>
      </c>
      <c r="B47" s="237">
        <v>0</v>
      </c>
      <c r="C47" s="237">
        <v>252</v>
      </c>
      <c r="D47" s="237">
        <v>0</v>
      </c>
      <c r="E47" s="237">
        <v>17334</v>
      </c>
    </row>
    <row r="48" spans="1:5" ht="32.1" customHeight="1">
      <c r="A48" s="236" t="s">
        <v>665</v>
      </c>
      <c r="B48" s="237">
        <v>1033790</v>
      </c>
      <c r="C48" s="237">
        <v>3656</v>
      </c>
      <c r="D48" s="237">
        <v>680358</v>
      </c>
      <c r="E48" s="237">
        <v>35509</v>
      </c>
    </row>
    <row r="49" spans="1:5" ht="32.1" customHeight="1">
      <c r="A49" s="236" t="s">
        <v>803</v>
      </c>
      <c r="B49" s="237">
        <v>25380</v>
      </c>
      <c r="C49" s="237">
        <v>138</v>
      </c>
      <c r="D49" s="237">
        <v>15955</v>
      </c>
      <c r="E49" s="237">
        <v>152</v>
      </c>
    </row>
    <row r="50" spans="1:5" ht="32.1" customHeight="1">
      <c r="A50" s="236" t="s">
        <v>771</v>
      </c>
      <c r="B50" s="237">
        <v>186247</v>
      </c>
      <c r="C50" s="237">
        <v>713</v>
      </c>
      <c r="D50" s="237">
        <v>171849</v>
      </c>
      <c r="E50" s="237">
        <v>8928</v>
      </c>
    </row>
    <row r="51" spans="1:5" ht="32.1" customHeight="1">
      <c r="A51" s="236" t="s">
        <v>804</v>
      </c>
      <c r="B51" s="237">
        <v>0</v>
      </c>
      <c r="C51" s="237">
        <v>13</v>
      </c>
      <c r="D51" s="237">
        <v>0</v>
      </c>
      <c r="E51" s="237">
        <v>298</v>
      </c>
    </row>
    <row r="52" spans="1:5" ht="32.1" customHeight="1">
      <c r="A52" s="236" t="s">
        <v>668</v>
      </c>
      <c r="B52" s="237">
        <v>0</v>
      </c>
      <c r="C52" s="237">
        <v>84</v>
      </c>
      <c r="D52" s="237">
        <v>0</v>
      </c>
      <c r="E52" s="237">
        <v>3644</v>
      </c>
    </row>
    <row r="53" spans="1:5" ht="32.1" customHeight="1">
      <c r="A53" s="236" t="s">
        <v>669</v>
      </c>
      <c r="B53" s="237">
        <v>0</v>
      </c>
      <c r="C53" s="237">
        <v>1</v>
      </c>
      <c r="D53" s="237">
        <v>0</v>
      </c>
      <c r="E53" s="237">
        <v>24</v>
      </c>
    </row>
    <row r="54" spans="1:5" ht="32.1" customHeight="1">
      <c r="A54" s="236" t="s">
        <v>786</v>
      </c>
      <c r="B54" s="237">
        <v>105856</v>
      </c>
      <c r="C54" s="237">
        <v>418</v>
      </c>
      <c r="D54" s="237">
        <v>85095</v>
      </c>
      <c r="E54" s="237">
        <v>4750</v>
      </c>
    </row>
    <row r="55" spans="1:5" ht="32.1" customHeight="1">
      <c r="A55" s="236" t="s">
        <v>671</v>
      </c>
      <c r="B55" s="237">
        <v>27815</v>
      </c>
      <c r="C55" s="237">
        <v>261</v>
      </c>
      <c r="D55" s="237">
        <v>19060</v>
      </c>
      <c r="E55" s="237">
        <v>212</v>
      </c>
    </row>
    <row r="56" spans="1:5" ht="32.1" customHeight="1">
      <c r="A56" s="236" t="s">
        <v>672</v>
      </c>
      <c r="B56" s="237">
        <v>0</v>
      </c>
      <c r="C56" s="237">
        <v>452</v>
      </c>
      <c r="D56" s="237">
        <v>0</v>
      </c>
      <c r="E56" s="237">
        <v>3853</v>
      </c>
    </row>
    <row r="57" spans="1:5" ht="32.1" customHeight="1">
      <c r="A57" s="236" t="s">
        <v>673</v>
      </c>
      <c r="B57" s="237">
        <v>378672</v>
      </c>
      <c r="C57" s="237">
        <v>740</v>
      </c>
      <c r="D57" s="237">
        <v>324962</v>
      </c>
      <c r="E57" s="237">
        <v>15726</v>
      </c>
    </row>
    <row r="58" spans="1:5" ht="32.1" customHeight="1">
      <c r="A58" s="236" t="s">
        <v>674</v>
      </c>
      <c r="B58" s="237">
        <v>732806</v>
      </c>
      <c r="C58" s="237">
        <v>3225</v>
      </c>
      <c r="D58" s="237">
        <v>613686</v>
      </c>
      <c r="E58" s="237">
        <v>16052</v>
      </c>
    </row>
    <row r="59" spans="1:5" ht="32.1" customHeight="1">
      <c r="A59" s="236" t="s">
        <v>726</v>
      </c>
      <c r="B59" s="237">
        <v>0</v>
      </c>
      <c r="C59" s="237">
        <v>54</v>
      </c>
      <c r="D59" s="237">
        <v>0</v>
      </c>
      <c r="E59" s="237">
        <v>1465</v>
      </c>
    </row>
    <row r="60" spans="1:5" ht="32.1" customHeight="1">
      <c r="A60" s="236" t="s">
        <v>676</v>
      </c>
      <c r="B60" s="237">
        <v>274872</v>
      </c>
      <c r="C60" s="237">
        <v>1553</v>
      </c>
      <c r="D60" s="237">
        <v>240041</v>
      </c>
      <c r="E60" s="237">
        <v>3712</v>
      </c>
    </row>
    <row r="61" spans="1:5" ht="32.1" customHeight="1">
      <c r="A61" s="236" t="s">
        <v>677</v>
      </c>
      <c r="B61" s="237">
        <v>0</v>
      </c>
      <c r="C61" s="237">
        <v>487</v>
      </c>
      <c r="D61" s="237">
        <v>0</v>
      </c>
      <c r="E61" s="237">
        <v>19539</v>
      </c>
    </row>
    <row r="62" spans="1:5" ht="32.1" customHeight="1">
      <c r="A62" s="236" t="s">
        <v>679</v>
      </c>
      <c r="B62" s="237">
        <v>90670</v>
      </c>
      <c r="C62" s="237">
        <v>418</v>
      </c>
      <c r="D62" s="237">
        <v>65402</v>
      </c>
      <c r="E62" s="237">
        <v>2080</v>
      </c>
    </row>
    <row r="63" spans="1:5" ht="32.1" customHeight="1">
      <c r="A63" s="236" t="s">
        <v>727</v>
      </c>
      <c r="B63" s="237">
        <v>710268</v>
      </c>
      <c r="C63" s="237">
        <v>1884</v>
      </c>
      <c r="D63" s="237">
        <v>560767</v>
      </c>
      <c r="E63" s="237">
        <v>13554</v>
      </c>
    </row>
    <row r="64" spans="1:5" ht="32.1" customHeight="1">
      <c r="A64" s="236" t="s">
        <v>728</v>
      </c>
      <c r="B64" s="237">
        <v>0</v>
      </c>
      <c r="C64" s="237">
        <v>1276</v>
      </c>
      <c r="D64" s="237">
        <v>0</v>
      </c>
      <c r="E64" s="237">
        <v>40001</v>
      </c>
    </row>
    <row r="65" spans="1:5" ht="32.1" customHeight="1">
      <c r="A65" s="236" t="s">
        <v>681</v>
      </c>
      <c r="B65" s="237">
        <v>295738</v>
      </c>
      <c r="C65" s="237">
        <v>1062</v>
      </c>
      <c r="D65" s="237">
        <v>265553</v>
      </c>
      <c r="E65" s="237">
        <v>15865</v>
      </c>
    </row>
    <row r="66" spans="1:5" ht="32.1" customHeight="1">
      <c r="A66" s="236" t="s">
        <v>682</v>
      </c>
      <c r="B66" s="237">
        <v>0</v>
      </c>
      <c r="C66" s="237">
        <v>613</v>
      </c>
      <c r="D66" s="237">
        <v>0</v>
      </c>
      <c r="E66" s="237">
        <v>19927</v>
      </c>
    </row>
    <row r="67" spans="1:5" ht="32.1" customHeight="1">
      <c r="A67" s="236" t="s">
        <v>772</v>
      </c>
      <c r="B67" s="237">
        <v>84780</v>
      </c>
      <c r="C67" s="237">
        <v>314</v>
      </c>
      <c r="D67" s="237">
        <v>37317</v>
      </c>
      <c r="E67" s="237">
        <v>1228</v>
      </c>
    </row>
    <row r="68" spans="1:5" ht="32.1" customHeight="1">
      <c r="A68" s="236" t="s">
        <v>729</v>
      </c>
      <c r="B68" s="237">
        <v>225349</v>
      </c>
      <c r="C68" s="237">
        <v>737</v>
      </c>
      <c r="D68" s="237">
        <v>186516</v>
      </c>
      <c r="E68" s="237">
        <v>14910</v>
      </c>
    </row>
    <row r="69" spans="1:5" ht="32.1" customHeight="1">
      <c r="A69" s="236" t="s">
        <v>755</v>
      </c>
      <c r="B69" s="237">
        <v>152376</v>
      </c>
      <c r="C69" s="237">
        <v>712</v>
      </c>
      <c r="D69" s="237">
        <v>125965</v>
      </c>
      <c r="E69" s="237">
        <v>9166</v>
      </c>
    </row>
    <row r="70" spans="1:5" ht="32.1" customHeight="1">
      <c r="A70" s="236" t="s">
        <v>684</v>
      </c>
      <c r="B70" s="237">
        <v>289308</v>
      </c>
      <c r="C70" s="237">
        <v>2244</v>
      </c>
      <c r="D70" s="237">
        <v>211805</v>
      </c>
      <c r="E70" s="237">
        <v>3078</v>
      </c>
    </row>
    <row r="71" spans="1:5" ht="32.1" customHeight="1">
      <c r="A71" s="236" t="s">
        <v>787</v>
      </c>
      <c r="B71" s="237">
        <v>307722</v>
      </c>
      <c r="C71" s="237">
        <v>1672</v>
      </c>
      <c r="D71" s="237">
        <v>264858</v>
      </c>
      <c r="E71" s="237">
        <v>2611</v>
      </c>
    </row>
    <row r="72" spans="1:5" ht="32.1" customHeight="1">
      <c r="A72" s="236" t="s">
        <v>685</v>
      </c>
      <c r="B72" s="237">
        <v>66278</v>
      </c>
      <c r="C72" s="237">
        <v>266</v>
      </c>
      <c r="D72" s="237">
        <v>58266</v>
      </c>
      <c r="E72" s="237">
        <v>1874</v>
      </c>
    </row>
    <row r="73" spans="1:5" ht="32.1" customHeight="1">
      <c r="A73" s="236" t="s">
        <v>756</v>
      </c>
      <c r="B73" s="237">
        <v>4662</v>
      </c>
      <c r="C73" s="237">
        <v>28</v>
      </c>
      <c r="D73" s="237">
        <v>3638</v>
      </c>
      <c r="E73" s="237">
        <v>52</v>
      </c>
    </row>
    <row r="74" spans="1:5" ht="32.1" customHeight="1">
      <c r="A74" s="236" t="s">
        <v>797</v>
      </c>
      <c r="B74" s="237">
        <v>0</v>
      </c>
      <c r="C74" s="237">
        <v>17</v>
      </c>
      <c r="D74" s="237">
        <v>0</v>
      </c>
      <c r="E74" s="237">
        <v>291</v>
      </c>
    </row>
    <row r="75" spans="1:5" ht="32.1" customHeight="1">
      <c r="A75" s="236" t="s">
        <v>687</v>
      </c>
      <c r="B75" s="237">
        <v>372441</v>
      </c>
      <c r="C75" s="237">
        <v>1454</v>
      </c>
      <c r="D75" s="237">
        <v>315130</v>
      </c>
      <c r="E75" s="237">
        <v>12182</v>
      </c>
    </row>
    <row r="76" spans="1:5" ht="32.1" customHeight="1">
      <c r="A76" s="236" t="s">
        <v>688</v>
      </c>
      <c r="B76" s="237">
        <v>55936</v>
      </c>
      <c r="C76" s="237">
        <v>304</v>
      </c>
      <c r="D76" s="237">
        <v>43469</v>
      </c>
      <c r="E76" s="237">
        <v>648</v>
      </c>
    </row>
    <row r="77" spans="1:5" ht="32.1" customHeight="1">
      <c r="A77" s="236" t="s">
        <v>689</v>
      </c>
      <c r="B77" s="237">
        <v>0</v>
      </c>
      <c r="C77" s="237">
        <v>3596</v>
      </c>
      <c r="D77" s="237">
        <v>0</v>
      </c>
      <c r="E77" s="237">
        <v>47037</v>
      </c>
    </row>
    <row r="78" spans="1:5" ht="32.1" customHeight="1">
      <c r="A78" s="236" t="s">
        <v>731</v>
      </c>
      <c r="B78" s="237">
        <v>106499</v>
      </c>
      <c r="C78" s="237">
        <v>416</v>
      </c>
      <c r="D78" s="237">
        <v>74877</v>
      </c>
      <c r="E78" s="237">
        <v>3275</v>
      </c>
    </row>
    <row r="79" spans="1:5" ht="32.1" customHeight="1">
      <c r="A79" s="236" t="s">
        <v>692</v>
      </c>
      <c r="B79" s="237">
        <v>759464</v>
      </c>
      <c r="C79" s="237">
        <v>4392</v>
      </c>
      <c r="D79" s="237">
        <v>659048</v>
      </c>
      <c r="E79" s="237">
        <v>16500</v>
      </c>
    </row>
    <row r="80" spans="1:5" ht="32.1" customHeight="1">
      <c r="A80" s="236" t="s">
        <v>693</v>
      </c>
      <c r="B80" s="237">
        <v>0</v>
      </c>
      <c r="C80" s="237">
        <v>8</v>
      </c>
      <c r="D80" s="237">
        <v>0</v>
      </c>
      <c r="E80" s="237">
        <v>331</v>
      </c>
    </row>
    <row r="81" spans="1:5" ht="32.1" customHeight="1">
      <c r="A81" s="236" t="s">
        <v>694</v>
      </c>
      <c r="B81" s="237">
        <v>506046</v>
      </c>
      <c r="C81" s="237">
        <v>2194</v>
      </c>
      <c r="D81" s="237">
        <v>424542</v>
      </c>
      <c r="E81" s="237">
        <v>7733</v>
      </c>
    </row>
    <row r="82" spans="1:5" ht="32.1" customHeight="1">
      <c r="A82" s="236" t="s">
        <v>805</v>
      </c>
      <c r="B82" s="237">
        <v>720</v>
      </c>
      <c r="C82" s="237">
        <v>4</v>
      </c>
      <c r="D82" s="237">
        <v>481</v>
      </c>
      <c r="E82" s="237">
        <v>6</v>
      </c>
    </row>
    <row r="83" spans="1:5" ht="32.1" customHeight="1">
      <c r="A83" s="236" t="s">
        <v>696</v>
      </c>
      <c r="B83" s="237">
        <v>1754947</v>
      </c>
      <c r="C83" s="237">
        <v>9453</v>
      </c>
      <c r="D83" s="237">
        <v>1403831</v>
      </c>
      <c r="E83" s="237">
        <v>28829</v>
      </c>
    </row>
    <row r="84" spans="1:5" ht="32.1" customHeight="1">
      <c r="A84" s="236" t="s">
        <v>806</v>
      </c>
      <c r="B84" s="237">
        <v>297040</v>
      </c>
      <c r="C84" s="237">
        <v>1460</v>
      </c>
      <c r="D84" s="237">
        <v>225139</v>
      </c>
      <c r="E84" s="237">
        <v>5010</v>
      </c>
    </row>
    <row r="85" spans="1:5" ht="32.1" customHeight="1">
      <c r="A85" s="236" t="s">
        <v>776</v>
      </c>
      <c r="B85" s="237">
        <v>200828</v>
      </c>
      <c r="C85" s="237">
        <v>1272</v>
      </c>
      <c r="D85" s="237">
        <v>171919</v>
      </c>
      <c r="E85" s="237">
        <v>1718</v>
      </c>
    </row>
    <row r="86" spans="1:5" ht="32.1" customHeight="1">
      <c r="A86" s="236" t="s">
        <v>697</v>
      </c>
      <c r="B86" s="237">
        <v>2900076</v>
      </c>
      <c r="C86" s="237">
        <v>17605</v>
      </c>
      <c r="D86" s="237">
        <v>2343998</v>
      </c>
      <c r="E86" s="237">
        <v>46211</v>
      </c>
    </row>
    <row r="87" spans="1:5" ht="32.1" customHeight="1">
      <c r="A87" s="236" t="s">
        <v>698</v>
      </c>
      <c r="B87" s="237">
        <v>3473924</v>
      </c>
      <c r="C87" s="237">
        <v>18610</v>
      </c>
      <c r="D87" s="237">
        <v>2735552</v>
      </c>
      <c r="E87" s="237">
        <v>55569</v>
      </c>
    </row>
    <row r="88" spans="1:5" ht="32.1" customHeight="1">
      <c r="A88" s="236" t="s">
        <v>699</v>
      </c>
      <c r="B88" s="237">
        <v>337904</v>
      </c>
      <c r="C88" s="237">
        <v>2066</v>
      </c>
      <c r="D88" s="237">
        <v>258574</v>
      </c>
      <c r="E88" s="237">
        <v>4343</v>
      </c>
    </row>
    <row r="89" spans="1:5" ht="32.1" customHeight="1">
      <c r="A89" s="236" t="s">
        <v>700</v>
      </c>
      <c r="B89" s="237">
        <v>0</v>
      </c>
      <c r="C89" s="237">
        <v>334</v>
      </c>
      <c r="D89" s="237">
        <v>0</v>
      </c>
      <c r="E89" s="237">
        <v>1828</v>
      </c>
    </row>
    <row r="90" spans="1:5" ht="32.1" customHeight="1">
      <c r="A90" s="236" t="s">
        <v>701</v>
      </c>
      <c r="B90" s="237">
        <v>206076</v>
      </c>
      <c r="C90" s="237">
        <v>1264</v>
      </c>
      <c r="D90" s="237">
        <v>161648</v>
      </c>
      <c r="E90" s="237">
        <v>2605</v>
      </c>
    </row>
    <row r="91" spans="1:5" ht="32.1" customHeight="1">
      <c r="A91" s="236" t="s">
        <v>702</v>
      </c>
      <c r="B91" s="237">
        <v>0</v>
      </c>
      <c r="C91" s="237">
        <v>538</v>
      </c>
      <c r="D91" s="237">
        <v>0</v>
      </c>
      <c r="E91" s="237">
        <v>27441</v>
      </c>
    </row>
    <row r="92" spans="1:5" ht="32.1" customHeight="1">
      <c r="A92" s="236" t="s">
        <v>703</v>
      </c>
      <c r="B92" s="237">
        <v>850563</v>
      </c>
      <c r="C92" s="237">
        <v>3876</v>
      </c>
      <c r="D92" s="237">
        <v>703199</v>
      </c>
      <c r="E92" s="237">
        <v>17010</v>
      </c>
    </row>
    <row r="93" spans="1:5" ht="32.1" customHeight="1">
      <c r="A93" s="236" t="s">
        <v>757</v>
      </c>
      <c r="B93" s="237">
        <v>185892</v>
      </c>
      <c r="C93" s="237">
        <v>1044</v>
      </c>
      <c r="D93" s="237">
        <v>166518</v>
      </c>
      <c r="E93" s="237">
        <v>1967</v>
      </c>
    </row>
    <row r="94" spans="1:5" ht="32.1" customHeight="1">
      <c r="A94" s="236" t="s">
        <v>778</v>
      </c>
      <c r="B94" s="237">
        <v>97980</v>
      </c>
      <c r="C94" s="237">
        <v>358</v>
      </c>
      <c r="D94" s="237">
        <v>82805</v>
      </c>
      <c r="E94" s="237">
        <v>4442</v>
      </c>
    </row>
    <row r="95" spans="1:5" ht="32.1" customHeight="1">
      <c r="A95" s="236" t="s">
        <v>779</v>
      </c>
      <c r="B95" s="237">
        <v>757000</v>
      </c>
      <c r="C95" s="237">
        <v>4198</v>
      </c>
      <c r="D95" s="237">
        <v>675825</v>
      </c>
      <c r="E95" s="237">
        <v>6862</v>
      </c>
    </row>
    <row r="96" spans="1:5" ht="32.1" customHeight="1">
      <c r="A96" s="236" t="s">
        <v>704</v>
      </c>
      <c r="B96" s="237">
        <v>0</v>
      </c>
      <c r="C96" s="237">
        <v>306</v>
      </c>
      <c r="D96" s="237">
        <v>0</v>
      </c>
      <c r="E96" s="237">
        <v>13778</v>
      </c>
    </row>
    <row r="97" spans="1:5" ht="32.1" customHeight="1">
      <c r="A97" s="236" t="s">
        <v>705</v>
      </c>
      <c r="B97" s="237">
        <v>288238</v>
      </c>
      <c r="C97" s="237">
        <v>1154</v>
      </c>
      <c r="D97" s="237">
        <v>252184</v>
      </c>
      <c r="E97" s="237">
        <v>46689</v>
      </c>
    </row>
    <row r="98" spans="1:5" ht="32.1" customHeight="1">
      <c r="A98" s="236" t="s">
        <v>706</v>
      </c>
      <c r="B98" s="237">
        <v>0</v>
      </c>
      <c r="C98" s="237">
        <v>396</v>
      </c>
      <c r="D98" s="237">
        <v>0</v>
      </c>
      <c r="E98" s="237">
        <v>26163</v>
      </c>
    </row>
    <row r="99" spans="1:5" ht="32.1" customHeight="1">
      <c r="A99" s="236" t="s">
        <v>798</v>
      </c>
      <c r="B99" s="237">
        <v>46420</v>
      </c>
      <c r="C99" s="237">
        <v>238</v>
      </c>
      <c r="D99" s="237">
        <v>31053</v>
      </c>
      <c r="E99" s="237">
        <v>398</v>
      </c>
    </row>
    <row r="100" spans="1:5" ht="32.1" customHeight="1">
      <c r="A100" s="236" t="s">
        <v>707</v>
      </c>
      <c r="B100" s="237">
        <v>1386707</v>
      </c>
      <c r="C100" s="237">
        <v>4570</v>
      </c>
      <c r="D100" s="237">
        <v>1193376</v>
      </c>
      <c r="E100" s="237">
        <v>55468</v>
      </c>
    </row>
    <row r="101" spans="1:5" ht="32.1" customHeight="1">
      <c r="A101" s="236" t="s">
        <v>708</v>
      </c>
      <c r="B101" s="237">
        <v>190014</v>
      </c>
      <c r="C101" s="237">
        <v>1063</v>
      </c>
      <c r="D101" s="237">
        <v>148112</v>
      </c>
      <c r="E101" s="237">
        <v>2156</v>
      </c>
    </row>
    <row r="102" spans="1:5" ht="32.1" customHeight="1">
      <c r="A102" s="236" t="s">
        <v>807</v>
      </c>
      <c r="B102" s="237">
        <v>58140</v>
      </c>
      <c r="C102" s="237">
        <v>323</v>
      </c>
      <c r="D102" s="237">
        <v>41562</v>
      </c>
      <c r="E102" s="237">
        <v>362</v>
      </c>
    </row>
    <row r="103" spans="1:5" ht="32.1" customHeight="1">
      <c r="A103" s="236" t="s">
        <v>788</v>
      </c>
      <c r="B103" s="237">
        <v>370214</v>
      </c>
      <c r="C103" s="237">
        <v>982</v>
      </c>
      <c r="D103" s="237">
        <v>319797</v>
      </c>
      <c r="E103" s="237">
        <v>7794</v>
      </c>
    </row>
    <row r="104" spans="1:5" ht="32.1" customHeight="1">
      <c r="A104" s="236" t="s">
        <v>709</v>
      </c>
      <c r="B104" s="237">
        <v>1108086</v>
      </c>
      <c r="C104" s="237">
        <v>3448</v>
      </c>
      <c r="D104" s="237">
        <v>878301</v>
      </c>
      <c r="E104" s="237">
        <v>41275</v>
      </c>
    </row>
    <row r="105" spans="1:5" ht="32.1" customHeight="1">
      <c r="A105" s="236" t="s">
        <v>710</v>
      </c>
      <c r="B105" s="237">
        <v>364440</v>
      </c>
      <c r="C105" s="237">
        <v>1310</v>
      </c>
      <c r="D105" s="237">
        <v>278278</v>
      </c>
      <c r="E105" s="237">
        <v>25411</v>
      </c>
    </row>
    <row r="106" spans="1:5" ht="32.1" customHeight="1">
      <c r="A106" s="236" t="s">
        <v>808</v>
      </c>
      <c r="B106" s="237">
        <v>296</v>
      </c>
      <c r="C106" s="237">
        <v>4</v>
      </c>
      <c r="D106" s="237">
        <v>268</v>
      </c>
      <c r="E106" s="237">
        <v>3</v>
      </c>
    </row>
    <row r="107" spans="1:5" ht="32.1" customHeight="1">
      <c r="A107" s="236" t="s">
        <v>712</v>
      </c>
      <c r="B107" s="237">
        <v>0</v>
      </c>
      <c r="C107" s="237">
        <v>2548</v>
      </c>
      <c r="D107" s="237">
        <v>0</v>
      </c>
      <c r="E107" s="237">
        <v>53811</v>
      </c>
    </row>
    <row r="108" spans="1:5" ht="32.1" customHeight="1">
      <c r="A108" s="236" t="s">
        <v>713</v>
      </c>
      <c r="B108" s="237">
        <v>0</v>
      </c>
      <c r="C108" s="237">
        <v>3961</v>
      </c>
      <c r="D108" s="237">
        <v>0</v>
      </c>
      <c r="E108" s="237">
        <v>117537</v>
      </c>
    </row>
    <row r="109" spans="1:5" ht="32.1" customHeight="1">
      <c r="A109" s="236" t="s">
        <v>809</v>
      </c>
      <c r="B109" s="237">
        <v>16128</v>
      </c>
      <c r="C109" s="237">
        <v>64</v>
      </c>
      <c r="D109" s="237">
        <v>12377</v>
      </c>
      <c r="E109" s="237">
        <v>739</v>
      </c>
    </row>
    <row r="110" spans="1:5" ht="32.1" customHeight="1">
      <c r="A110" s="236" t="s">
        <v>715</v>
      </c>
      <c r="B110" s="237">
        <v>258028</v>
      </c>
      <c r="C110" s="237">
        <v>720</v>
      </c>
      <c r="D110" s="237">
        <v>211332</v>
      </c>
      <c r="E110" s="237">
        <v>14729</v>
      </c>
    </row>
    <row r="111" spans="1:5" ht="32.1" customHeight="1">
      <c r="A111" s="236" t="s">
        <v>759</v>
      </c>
      <c r="B111" s="237">
        <v>891720</v>
      </c>
      <c r="C111" s="237">
        <v>4956</v>
      </c>
      <c r="D111" s="237">
        <v>767882</v>
      </c>
      <c r="E111" s="237">
        <v>3719</v>
      </c>
    </row>
    <row r="112" spans="1:5" ht="32.1" customHeight="1">
      <c r="A112" s="236" t="s">
        <v>716</v>
      </c>
      <c r="B112" s="237">
        <v>207480</v>
      </c>
      <c r="C112" s="237">
        <v>712</v>
      </c>
      <c r="D112" s="237">
        <v>176780</v>
      </c>
      <c r="E112" s="237">
        <v>11788</v>
      </c>
    </row>
    <row r="113" spans="1:5" ht="32.1" customHeight="1">
      <c r="A113" s="236" t="s">
        <v>717</v>
      </c>
      <c r="B113" s="237">
        <v>578290</v>
      </c>
      <c r="C113" s="237">
        <v>3216</v>
      </c>
      <c r="D113" s="237">
        <v>448857</v>
      </c>
      <c r="E113" s="237">
        <v>4887</v>
      </c>
    </row>
    <row r="114" spans="1:5" ht="32.1" customHeight="1">
      <c r="A114" s="236" t="s">
        <v>718</v>
      </c>
      <c r="B114" s="237">
        <v>1126310</v>
      </c>
      <c r="C114" s="237">
        <v>4612</v>
      </c>
      <c r="D114" s="237">
        <v>960790</v>
      </c>
      <c r="E114" s="237">
        <v>17484</v>
      </c>
    </row>
    <row r="115" spans="1:5" ht="32.1" customHeight="1">
      <c r="A115" s="236" t="s">
        <v>745</v>
      </c>
      <c r="B115" s="237">
        <v>154056</v>
      </c>
      <c r="C115" s="237">
        <v>524</v>
      </c>
      <c r="D115" s="237">
        <v>136303</v>
      </c>
      <c r="E115" s="237">
        <v>5100</v>
      </c>
    </row>
    <row r="116" spans="1:5" ht="32.1" customHeight="1">
      <c r="A116" s="236" t="s">
        <v>719</v>
      </c>
      <c r="B116" s="237">
        <v>40240</v>
      </c>
      <c r="C116" s="237">
        <v>248</v>
      </c>
      <c r="D116" s="237">
        <v>38054</v>
      </c>
      <c r="E116" s="237">
        <v>411</v>
      </c>
    </row>
    <row r="117" spans="1:5" ht="32.1" customHeight="1">
      <c r="A117" s="236" t="s">
        <v>720</v>
      </c>
      <c r="B117" s="237">
        <v>529512</v>
      </c>
      <c r="C117" s="237">
        <v>2939</v>
      </c>
      <c r="D117" s="237">
        <v>484752</v>
      </c>
      <c r="E117" s="237">
        <v>6027</v>
      </c>
    </row>
    <row r="118" spans="1:5" ht="32.1" customHeight="1">
      <c r="A118" s="236" t="s">
        <v>789</v>
      </c>
      <c r="B118" s="237">
        <v>7098</v>
      </c>
      <c r="C118" s="237">
        <v>32</v>
      </c>
      <c r="D118" s="237">
        <v>6562</v>
      </c>
      <c r="E118" s="237">
        <v>179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663D4-F856-4B49-940A-7D42F82F6A73}">
  <dimension ref="A1:E120"/>
  <sheetViews>
    <sheetView workbookViewId="0">
      <selection sqref="A1:E1"/>
    </sheetView>
  </sheetViews>
  <sheetFormatPr defaultColWidth="9" defaultRowHeight="16.5"/>
  <cols>
    <col min="1" max="1" width="48.5" style="14" customWidth="1"/>
    <col min="2" max="3" width="28.375" style="14" customWidth="1"/>
    <col min="4" max="5" width="28.5" style="14" customWidth="1"/>
    <col min="6" max="16384" width="9" style="14"/>
  </cols>
  <sheetData>
    <row r="1" spans="1:5" ht="33.950000000000003" customHeight="1">
      <c r="A1" s="435" t="s">
        <v>810</v>
      </c>
      <c r="B1" s="436"/>
      <c r="C1" s="436"/>
      <c r="D1" s="436"/>
      <c r="E1" s="436"/>
    </row>
    <row r="2" spans="1:5" ht="36.950000000000003" customHeight="1">
      <c r="A2" s="235" t="s">
        <v>624</v>
      </c>
      <c r="B2" s="235" t="s">
        <v>625</v>
      </c>
      <c r="C2" s="235" t="s">
        <v>626</v>
      </c>
      <c r="D2" s="235" t="s">
        <v>340</v>
      </c>
      <c r="E2" s="235" t="s">
        <v>342</v>
      </c>
    </row>
    <row r="3" spans="1:5" ht="32.1" customHeight="1">
      <c r="A3" s="236" t="s">
        <v>627</v>
      </c>
      <c r="B3" s="237">
        <v>132181325</v>
      </c>
      <c r="C3" s="237">
        <v>653659</v>
      </c>
      <c r="D3" s="237">
        <v>110418531</v>
      </c>
      <c r="E3" s="237">
        <v>4321641</v>
      </c>
    </row>
    <row r="4" spans="1:5" ht="32.1" customHeight="1">
      <c r="A4" s="236" t="s">
        <v>628</v>
      </c>
      <c r="B4" s="237">
        <v>101616268</v>
      </c>
      <c r="C4" s="237">
        <v>497211</v>
      </c>
      <c r="D4" s="237">
        <v>85904545</v>
      </c>
      <c r="E4" s="237">
        <v>3031848</v>
      </c>
    </row>
    <row r="5" spans="1:5" ht="32.1" customHeight="1">
      <c r="A5" s="236" t="s">
        <v>629</v>
      </c>
      <c r="B5" s="237">
        <v>34573069</v>
      </c>
      <c r="C5" s="237">
        <v>160910</v>
      </c>
      <c r="D5" s="237">
        <v>27174286</v>
      </c>
      <c r="E5" s="237">
        <v>1757107</v>
      </c>
    </row>
    <row r="6" spans="1:5" ht="32.1" customHeight="1">
      <c r="A6" s="236" t="s">
        <v>630</v>
      </c>
      <c r="B6" s="237">
        <v>23277581</v>
      </c>
      <c r="C6" s="237">
        <v>108585</v>
      </c>
      <c r="D6" s="237">
        <v>19513985</v>
      </c>
      <c r="E6" s="237">
        <v>937983</v>
      </c>
    </row>
    <row r="7" spans="1:5" ht="32.1" customHeight="1">
      <c r="A7" s="236" t="s">
        <v>631</v>
      </c>
      <c r="B7" s="237">
        <v>11427705</v>
      </c>
      <c r="C7" s="237">
        <v>60560</v>
      </c>
      <c r="D7" s="237">
        <v>10605908</v>
      </c>
      <c r="E7" s="237">
        <v>83760</v>
      </c>
    </row>
    <row r="8" spans="1:5" ht="32.1" customHeight="1">
      <c r="A8" s="236" t="s">
        <v>632</v>
      </c>
      <c r="B8" s="237">
        <v>9630777</v>
      </c>
      <c r="C8" s="237">
        <v>44874</v>
      </c>
      <c r="D8" s="237">
        <v>8715127</v>
      </c>
      <c r="E8" s="237">
        <v>90266</v>
      </c>
    </row>
    <row r="9" spans="1:5" ht="32.1" customHeight="1">
      <c r="A9" s="236" t="s">
        <v>633</v>
      </c>
      <c r="B9" s="237">
        <v>8308793</v>
      </c>
      <c r="C9" s="237">
        <v>44063</v>
      </c>
      <c r="D9" s="237">
        <v>7196418</v>
      </c>
      <c r="E9" s="237">
        <v>64034</v>
      </c>
    </row>
    <row r="10" spans="1:5" ht="32.1" customHeight="1">
      <c r="A10" s="236" t="s">
        <v>634</v>
      </c>
      <c r="B10" s="237">
        <v>6221791</v>
      </c>
      <c r="C10" s="237">
        <v>34108</v>
      </c>
      <c r="D10" s="237">
        <v>5582868</v>
      </c>
      <c r="E10" s="237">
        <v>38203</v>
      </c>
    </row>
    <row r="11" spans="1:5" ht="32.1" customHeight="1">
      <c r="A11" s="236" t="s">
        <v>722</v>
      </c>
      <c r="B11" s="237">
        <v>7041126</v>
      </c>
      <c r="C11" s="237">
        <v>37332</v>
      </c>
      <c r="D11" s="237">
        <v>6289045</v>
      </c>
      <c r="E11" s="237">
        <v>45558</v>
      </c>
    </row>
    <row r="12" spans="1:5" ht="32.1" customHeight="1">
      <c r="A12" s="236" t="s">
        <v>762</v>
      </c>
      <c r="B12" s="237">
        <v>0</v>
      </c>
      <c r="C12" s="237">
        <v>942</v>
      </c>
      <c r="D12" s="237">
        <v>0</v>
      </c>
      <c r="E12" s="237">
        <v>6675</v>
      </c>
    </row>
    <row r="13" spans="1:5" ht="32.1" customHeight="1">
      <c r="A13" s="236" t="s">
        <v>800</v>
      </c>
      <c r="B13" s="237">
        <v>1135426</v>
      </c>
      <c r="C13" s="237">
        <v>5837</v>
      </c>
      <c r="D13" s="237">
        <v>826908</v>
      </c>
      <c r="E13" s="237">
        <v>8261</v>
      </c>
    </row>
    <row r="14" spans="1:5" ht="32.1" customHeight="1">
      <c r="A14" s="236" t="s">
        <v>635</v>
      </c>
      <c r="B14" s="237">
        <v>30565057</v>
      </c>
      <c r="C14" s="237">
        <v>156448</v>
      </c>
      <c r="D14" s="237">
        <v>24513986</v>
      </c>
      <c r="E14" s="237">
        <v>1289793</v>
      </c>
    </row>
    <row r="15" spans="1:5" ht="32.1" customHeight="1">
      <c r="A15" s="236" t="s">
        <v>638</v>
      </c>
      <c r="B15" s="237">
        <v>344501</v>
      </c>
      <c r="C15" s="237">
        <v>1346</v>
      </c>
      <c r="D15" s="237">
        <v>264312</v>
      </c>
      <c r="E15" s="237">
        <v>14765</v>
      </c>
    </row>
    <row r="16" spans="1:5" ht="32.1" customHeight="1">
      <c r="A16" s="236" t="s">
        <v>641</v>
      </c>
      <c r="B16" s="237">
        <v>223830</v>
      </c>
      <c r="C16" s="237">
        <v>730</v>
      </c>
      <c r="D16" s="237">
        <v>198278</v>
      </c>
      <c r="E16" s="237">
        <v>26691</v>
      </c>
    </row>
    <row r="17" spans="1:5" ht="32.1" customHeight="1">
      <c r="A17" s="236" t="s">
        <v>643</v>
      </c>
      <c r="B17" s="237">
        <v>540336</v>
      </c>
      <c r="C17" s="237">
        <v>1802</v>
      </c>
      <c r="D17" s="237">
        <v>482207</v>
      </c>
      <c r="E17" s="237">
        <v>21368</v>
      </c>
    </row>
    <row r="18" spans="1:5" ht="32.1" customHeight="1">
      <c r="A18" s="236" t="s">
        <v>811</v>
      </c>
      <c r="B18" s="237">
        <v>0</v>
      </c>
      <c r="C18" s="237">
        <v>2</v>
      </c>
      <c r="D18" s="237">
        <v>0</v>
      </c>
      <c r="E18" s="237">
        <v>22</v>
      </c>
    </row>
    <row r="19" spans="1:5" ht="32.1" customHeight="1">
      <c r="A19" s="236" t="s">
        <v>765</v>
      </c>
      <c r="B19" s="237">
        <v>141212</v>
      </c>
      <c r="C19" s="237">
        <v>954</v>
      </c>
      <c r="D19" s="237">
        <v>109271</v>
      </c>
      <c r="E19" s="237">
        <v>1570</v>
      </c>
    </row>
    <row r="20" spans="1:5" ht="32.1" customHeight="1">
      <c r="A20" s="236" t="s">
        <v>812</v>
      </c>
      <c r="B20" s="237">
        <v>1464</v>
      </c>
      <c r="C20" s="237">
        <v>9</v>
      </c>
      <c r="D20" s="237">
        <v>1402</v>
      </c>
      <c r="E20" s="237">
        <v>13</v>
      </c>
    </row>
    <row r="21" spans="1:5" ht="32.1" customHeight="1">
      <c r="A21" s="236" t="s">
        <v>645</v>
      </c>
      <c r="B21" s="237">
        <v>265664</v>
      </c>
      <c r="C21" s="237">
        <v>724</v>
      </c>
      <c r="D21" s="237">
        <v>235623</v>
      </c>
      <c r="E21" s="237">
        <v>8418</v>
      </c>
    </row>
    <row r="22" spans="1:5" ht="32.1" customHeight="1">
      <c r="A22" s="236" t="s">
        <v>793</v>
      </c>
      <c r="B22" s="237">
        <v>9840</v>
      </c>
      <c r="C22" s="237">
        <v>54</v>
      </c>
      <c r="D22" s="237">
        <v>8553</v>
      </c>
      <c r="E22" s="237">
        <v>93</v>
      </c>
    </row>
    <row r="23" spans="1:5" ht="32.1" customHeight="1">
      <c r="A23" s="236" t="s">
        <v>646</v>
      </c>
      <c r="B23" s="237">
        <v>455369</v>
      </c>
      <c r="C23" s="237">
        <v>1195</v>
      </c>
      <c r="D23" s="237">
        <v>381375</v>
      </c>
      <c r="E23" s="237">
        <v>18607</v>
      </c>
    </row>
    <row r="24" spans="1:5" ht="32.1" customHeight="1">
      <c r="A24" s="236" t="s">
        <v>647</v>
      </c>
      <c r="B24" s="237">
        <v>0</v>
      </c>
      <c r="C24" s="237">
        <v>668</v>
      </c>
      <c r="D24" s="237">
        <v>0</v>
      </c>
      <c r="E24" s="237">
        <v>12831</v>
      </c>
    </row>
    <row r="25" spans="1:5" ht="32.1" customHeight="1">
      <c r="A25" s="236" t="s">
        <v>648</v>
      </c>
      <c r="B25" s="237">
        <v>22880</v>
      </c>
      <c r="C25" s="237">
        <v>220</v>
      </c>
      <c r="D25" s="237">
        <v>19863</v>
      </c>
      <c r="E25" s="237">
        <v>281</v>
      </c>
    </row>
    <row r="26" spans="1:5" ht="32.1" customHeight="1">
      <c r="A26" s="236" t="s">
        <v>649</v>
      </c>
      <c r="B26" s="237">
        <v>229864</v>
      </c>
      <c r="C26" s="237">
        <v>762</v>
      </c>
      <c r="D26" s="237">
        <v>192446</v>
      </c>
      <c r="E26" s="237">
        <v>13810</v>
      </c>
    </row>
    <row r="27" spans="1:5" ht="32.1" customHeight="1">
      <c r="A27" s="236" t="s">
        <v>650</v>
      </c>
      <c r="B27" s="237">
        <v>201162</v>
      </c>
      <c r="C27" s="237">
        <v>911</v>
      </c>
      <c r="D27" s="237">
        <v>169411</v>
      </c>
      <c r="E27" s="237">
        <v>4963</v>
      </c>
    </row>
    <row r="28" spans="1:5" ht="32.1" customHeight="1">
      <c r="A28" s="236" t="s">
        <v>813</v>
      </c>
      <c r="B28" s="237">
        <v>183</v>
      </c>
      <c r="C28" s="237">
        <v>4</v>
      </c>
      <c r="D28" s="237">
        <v>101</v>
      </c>
      <c r="E28" s="237">
        <v>3</v>
      </c>
    </row>
    <row r="29" spans="1:5" ht="32.1" customHeight="1">
      <c r="A29" s="236" t="s">
        <v>652</v>
      </c>
      <c r="B29" s="237">
        <v>1280098</v>
      </c>
      <c r="C29" s="237">
        <v>5109</v>
      </c>
      <c r="D29" s="237">
        <v>1139232</v>
      </c>
      <c r="E29" s="237">
        <v>44739</v>
      </c>
    </row>
    <row r="30" spans="1:5" ht="32.1" customHeight="1">
      <c r="A30" s="236" t="s">
        <v>653</v>
      </c>
      <c r="B30" s="237">
        <v>0</v>
      </c>
      <c r="C30" s="237">
        <v>18</v>
      </c>
      <c r="D30" s="237">
        <v>0</v>
      </c>
      <c r="E30" s="237">
        <v>398</v>
      </c>
    </row>
    <row r="31" spans="1:5" ht="32.1" customHeight="1">
      <c r="A31" s="236" t="s">
        <v>814</v>
      </c>
      <c r="B31" s="237">
        <v>1320</v>
      </c>
      <c r="C31" s="237">
        <v>16</v>
      </c>
      <c r="D31" s="237">
        <v>732</v>
      </c>
      <c r="E31" s="237">
        <v>12</v>
      </c>
    </row>
    <row r="32" spans="1:5" ht="32.1" customHeight="1">
      <c r="A32" s="236" t="s">
        <v>768</v>
      </c>
      <c r="B32" s="237">
        <v>7332</v>
      </c>
      <c r="C32" s="237">
        <v>42</v>
      </c>
      <c r="D32" s="237">
        <v>6714</v>
      </c>
      <c r="E32" s="237">
        <v>75</v>
      </c>
    </row>
    <row r="33" spans="1:5" ht="32.1" customHeight="1">
      <c r="A33" s="236" t="s">
        <v>750</v>
      </c>
      <c r="B33" s="237">
        <v>31452</v>
      </c>
      <c r="C33" s="237">
        <v>210</v>
      </c>
      <c r="D33" s="237">
        <v>17112</v>
      </c>
      <c r="E33" s="237">
        <v>243</v>
      </c>
    </row>
    <row r="34" spans="1:5" ht="32.1" customHeight="1">
      <c r="A34" s="236" t="s">
        <v>769</v>
      </c>
      <c r="B34" s="237">
        <v>799800</v>
      </c>
      <c r="C34" s="237">
        <v>3969</v>
      </c>
      <c r="D34" s="237">
        <v>681317</v>
      </c>
      <c r="E34" s="237">
        <v>10390</v>
      </c>
    </row>
    <row r="35" spans="1:5" ht="32.1" customHeight="1">
      <c r="A35" s="236" t="s">
        <v>724</v>
      </c>
      <c r="B35" s="237">
        <v>50484</v>
      </c>
      <c r="C35" s="237">
        <v>292</v>
      </c>
      <c r="D35" s="237">
        <v>34627</v>
      </c>
      <c r="E35" s="237">
        <v>552</v>
      </c>
    </row>
    <row r="36" spans="1:5" ht="32.1" customHeight="1">
      <c r="A36" s="236" t="s">
        <v>658</v>
      </c>
      <c r="B36" s="237">
        <v>880898</v>
      </c>
      <c r="C36" s="237">
        <v>5212</v>
      </c>
      <c r="D36" s="237">
        <v>626663</v>
      </c>
      <c r="E36" s="237">
        <v>9860</v>
      </c>
    </row>
    <row r="37" spans="1:5" ht="32.1" customHeight="1">
      <c r="A37" s="236" t="s">
        <v>659</v>
      </c>
      <c r="B37" s="237">
        <v>428374</v>
      </c>
      <c r="C37" s="237">
        <v>2366</v>
      </c>
      <c r="D37" s="237">
        <v>325645</v>
      </c>
      <c r="E37" s="237">
        <v>5733</v>
      </c>
    </row>
    <row r="38" spans="1:5" ht="32.1" customHeight="1">
      <c r="A38" s="236" t="s">
        <v>660</v>
      </c>
      <c r="B38" s="237">
        <v>538544</v>
      </c>
      <c r="C38" s="237">
        <v>2472</v>
      </c>
      <c r="D38" s="237">
        <v>400869</v>
      </c>
      <c r="E38" s="237">
        <v>7900</v>
      </c>
    </row>
    <row r="39" spans="1:5" ht="32.1" customHeight="1">
      <c r="A39" s="236" t="s">
        <v>815</v>
      </c>
      <c r="B39" s="237">
        <v>1392</v>
      </c>
      <c r="C39" s="237">
        <v>8</v>
      </c>
      <c r="D39" s="237">
        <v>1354</v>
      </c>
      <c r="E39" s="237">
        <v>15</v>
      </c>
    </row>
    <row r="40" spans="1:5" ht="32.1" customHeight="1">
      <c r="A40" s="236" t="s">
        <v>739</v>
      </c>
      <c r="B40" s="237">
        <v>87506</v>
      </c>
      <c r="C40" s="237">
        <v>455</v>
      </c>
      <c r="D40" s="237">
        <v>74833</v>
      </c>
      <c r="E40" s="237">
        <v>717</v>
      </c>
    </row>
    <row r="41" spans="1:5" ht="32.1" customHeight="1">
      <c r="A41" s="236" t="s">
        <v>816</v>
      </c>
      <c r="B41" s="237">
        <v>52450</v>
      </c>
      <c r="C41" s="237">
        <v>138</v>
      </c>
      <c r="D41" s="237">
        <v>47179</v>
      </c>
      <c r="E41" s="237">
        <v>1415</v>
      </c>
    </row>
    <row r="42" spans="1:5" ht="32.1" customHeight="1">
      <c r="A42" s="236" t="s">
        <v>770</v>
      </c>
      <c r="B42" s="237">
        <v>66420</v>
      </c>
      <c r="C42" s="237">
        <v>176</v>
      </c>
      <c r="D42" s="237">
        <v>59799</v>
      </c>
      <c r="E42" s="237">
        <v>1468</v>
      </c>
    </row>
    <row r="43" spans="1:5" ht="32.1" customHeight="1">
      <c r="A43" s="236" t="s">
        <v>662</v>
      </c>
      <c r="B43" s="237">
        <v>21000</v>
      </c>
      <c r="C43" s="237">
        <v>140</v>
      </c>
      <c r="D43" s="237">
        <v>14525</v>
      </c>
      <c r="E43" s="237">
        <v>126</v>
      </c>
    </row>
    <row r="44" spans="1:5" ht="32.1" customHeight="1">
      <c r="A44" s="236" t="s">
        <v>663</v>
      </c>
      <c r="B44" s="237">
        <v>145452</v>
      </c>
      <c r="C44" s="237">
        <v>918</v>
      </c>
      <c r="D44" s="237">
        <v>124981</v>
      </c>
      <c r="E44" s="237">
        <v>1311</v>
      </c>
    </row>
    <row r="45" spans="1:5" ht="32.1" customHeight="1">
      <c r="A45" s="236" t="s">
        <v>783</v>
      </c>
      <c r="B45" s="237">
        <v>972</v>
      </c>
      <c r="C45" s="237">
        <v>6</v>
      </c>
      <c r="D45" s="237">
        <v>565</v>
      </c>
      <c r="E45" s="237">
        <v>10</v>
      </c>
    </row>
    <row r="46" spans="1:5" ht="32.1" customHeight="1">
      <c r="A46" s="236" t="s">
        <v>784</v>
      </c>
      <c r="B46" s="237">
        <v>0</v>
      </c>
      <c r="C46" s="237">
        <v>306</v>
      </c>
      <c r="D46" s="237">
        <v>0</v>
      </c>
      <c r="E46" s="237">
        <v>21147</v>
      </c>
    </row>
    <row r="47" spans="1:5" ht="32.1" customHeight="1">
      <c r="A47" s="236" t="s">
        <v>664</v>
      </c>
      <c r="B47" s="237">
        <v>0</v>
      </c>
      <c r="C47" s="237">
        <v>16</v>
      </c>
      <c r="D47" s="237">
        <v>0</v>
      </c>
      <c r="E47" s="237">
        <v>627</v>
      </c>
    </row>
    <row r="48" spans="1:5" ht="32.1" customHeight="1">
      <c r="A48" s="236" t="s">
        <v>665</v>
      </c>
      <c r="B48" s="237">
        <v>1036266</v>
      </c>
      <c r="C48" s="237">
        <v>3655</v>
      </c>
      <c r="D48" s="237">
        <v>703125</v>
      </c>
      <c r="E48" s="237">
        <v>39526</v>
      </c>
    </row>
    <row r="49" spans="1:5" ht="32.1" customHeight="1">
      <c r="A49" s="236" t="s">
        <v>771</v>
      </c>
      <c r="B49" s="237">
        <v>201476</v>
      </c>
      <c r="C49" s="237">
        <v>706</v>
      </c>
      <c r="D49" s="237">
        <v>184591</v>
      </c>
      <c r="E49" s="237">
        <v>8723</v>
      </c>
    </row>
    <row r="50" spans="1:5" ht="32.1" customHeight="1">
      <c r="A50" s="236" t="s">
        <v>817</v>
      </c>
      <c r="B50" s="237">
        <v>49572</v>
      </c>
      <c r="C50" s="237">
        <v>204</v>
      </c>
      <c r="D50" s="237">
        <v>35331</v>
      </c>
      <c r="E50" s="237">
        <v>2162</v>
      </c>
    </row>
    <row r="51" spans="1:5" ht="32.1" customHeight="1">
      <c r="A51" s="236" t="s">
        <v>818</v>
      </c>
      <c r="B51" s="237">
        <v>0</v>
      </c>
      <c r="C51" s="237">
        <v>1</v>
      </c>
      <c r="D51" s="237">
        <v>0</v>
      </c>
      <c r="E51" s="237">
        <v>2</v>
      </c>
    </row>
    <row r="52" spans="1:5" ht="32.1" customHeight="1">
      <c r="A52" s="236" t="s">
        <v>668</v>
      </c>
      <c r="B52" s="237">
        <v>221</v>
      </c>
      <c r="C52" s="237">
        <v>540</v>
      </c>
      <c r="D52" s="237">
        <v>150</v>
      </c>
      <c r="E52" s="237">
        <v>33240</v>
      </c>
    </row>
    <row r="53" spans="1:5" ht="32.1" customHeight="1">
      <c r="A53" s="236" t="s">
        <v>669</v>
      </c>
      <c r="B53" s="237">
        <v>0</v>
      </c>
      <c r="C53" s="237">
        <v>6</v>
      </c>
      <c r="D53" s="237">
        <v>0</v>
      </c>
      <c r="E53" s="237">
        <v>414</v>
      </c>
    </row>
    <row r="54" spans="1:5" ht="32.1" customHeight="1">
      <c r="A54" s="236" t="s">
        <v>786</v>
      </c>
      <c r="B54" s="237">
        <v>87132</v>
      </c>
      <c r="C54" s="237">
        <v>348</v>
      </c>
      <c r="D54" s="237">
        <v>73037</v>
      </c>
      <c r="E54" s="237">
        <v>3546</v>
      </c>
    </row>
    <row r="55" spans="1:5" ht="32.1" customHeight="1">
      <c r="A55" s="236" t="s">
        <v>671</v>
      </c>
      <c r="B55" s="237">
        <v>54307</v>
      </c>
      <c r="C55" s="237">
        <v>507</v>
      </c>
      <c r="D55" s="237">
        <v>36754</v>
      </c>
      <c r="E55" s="237">
        <v>409</v>
      </c>
    </row>
    <row r="56" spans="1:5" ht="32.1" customHeight="1">
      <c r="A56" s="236" t="s">
        <v>673</v>
      </c>
      <c r="B56" s="237">
        <v>403626</v>
      </c>
      <c r="C56" s="237">
        <v>783</v>
      </c>
      <c r="D56" s="237">
        <v>344274</v>
      </c>
      <c r="E56" s="237">
        <v>15789</v>
      </c>
    </row>
    <row r="57" spans="1:5" ht="32.1" customHeight="1">
      <c r="A57" s="236" t="s">
        <v>674</v>
      </c>
      <c r="B57" s="237">
        <v>753983</v>
      </c>
      <c r="C57" s="237">
        <v>3242</v>
      </c>
      <c r="D57" s="237">
        <v>636495</v>
      </c>
      <c r="E57" s="237">
        <v>19322</v>
      </c>
    </row>
    <row r="58" spans="1:5" ht="32.1" customHeight="1">
      <c r="A58" s="236" t="s">
        <v>726</v>
      </c>
      <c r="B58" s="237">
        <v>0</v>
      </c>
      <c r="C58" s="237">
        <v>102</v>
      </c>
      <c r="D58" s="237">
        <v>0</v>
      </c>
      <c r="E58" s="237">
        <v>2918</v>
      </c>
    </row>
    <row r="59" spans="1:5" ht="32.1" customHeight="1">
      <c r="A59" s="236" t="s">
        <v>676</v>
      </c>
      <c r="B59" s="237">
        <v>254106</v>
      </c>
      <c r="C59" s="237">
        <v>1482</v>
      </c>
      <c r="D59" s="237">
        <v>195166</v>
      </c>
      <c r="E59" s="237">
        <v>3673</v>
      </c>
    </row>
    <row r="60" spans="1:5" ht="32.1" customHeight="1">
      <c r="A60" s="236" t="s">
        <v>677</v>
      </c>
      <c r="B60" s="237">
        <v>0</v>
      </c>
      <c r="C60" s="237">
        <v>626</v>
      </c>
      <c r="D60" s="237">
        <v>0</v>
      </c>
      <c r="E60" s="237">
        <v>26281</v>
      </c>
    </row>
    <row r="61" spans="1:5" ht="32.1" customHeight="1">
      <c r="A61" s="236" t="s">
        <v>679</v>
      </c>
      <c r="B61" s="237">
        <v>111234</v>
      </c>
      <c r="C61" s="237">
        <v>522</v>
      </c>
      <c r="D61" s="237">
        <v>88465</v>
      </c>
      <c r="E61" s="237">
        <v>2656</v>
      </c>
    </row>
    <row r="62" spans="1:5" ht="32.1" customHeight="1">
      <c r="A62" s="236" t="s">
        <v>727</v>
      </c>
      <c r="B62" s="237">
        <v>745706</v>
      </c>
      <c r="C62" s="237">
        <v>1978</v>
      </c>
      <c r="D62" s="237">
        <v>614223</v>
      </c>
      <c r="E62" s="237">
        <v>16426</v>
      </c>
    </row>
    <row r="63" spans="1:5" ht="32.1" customHeight="1">
      <c r="A63" s="236" t="s">
        <v>728</v>
      </c>
      <c r="B63" s="237">
        <v>0</v>
      </c>
      <c r="C63" s="237">
        <v>1231</v>
      </c>
      <c r="D63" s="237">
        <v>0</v>
      </c>
      <c r="E63" s="237">
        <v>40428</v>
      </c>
    </row>
    <row r="64" spans="1:5" ht="32.1" customHeight="1">
      <c r="A64" s="236" t="s">
        <v>819</v>
      </c>
      <c r="B64" s="237">
        <v>0</v>
      </c>
      <c r="C64" s="237">
        <v>2</v>
      </c>
      <c r="D64" s="237">
        <v>0</v>
      </c>
      <c r="E64" s="237">
        <v>45</v>
      </c>
    </row>
    <row r="65" spans="1:5" ht="32.1" customHeight="1">
      <c r="A65" s="236" t="s">
        <v>681</v>
      </c>
      <c r="B65" s="237">
        <v>395545</v>
      </c>
      <c r="C65" s="237">
        <v>1341</v>
      </c>
      <c r="D65" s="237">
        <v>345952</v>
      </c>
      <c r="E65" s="237">
        <v>22324</v>
      </c>
    </row>
    <row r="66" spans="1:5" ht="32.1" customHeight="1">
      <c r="A66" s="236" t="s">
        <v>682</v>
      </c>
      <c r="B66" s="237">
        <v>0</v>
      </c>
      <c r="C66" s="237">
        <v>617</v>
      </c>
      <c r="D66" s="237">
        <v>0</v>
      </c>
      <c r="E66" s="237">
        <v>19515</v>
      </c>
    </row>
    <row r="67" spans="1:5" ht="32.1" customHeight="1">
      <c r="A67" s="236" t="s">
        <v>772</v>
      </c>
      <c r="B67" s="237">
        <v>87972</v>
      </c>
      <c r="C67" s="237">
        <v>324</v>
      </c>
      <c r="D67" s="237">
        <v>38153</v>
      </c>
      <c r="E67" s="237">
        <v>2185</v>
      </c>
    </row>
    <row r="68" spans="1:5" ht="32.1" customHeight="1">
      <c r="A68" s="236" t="s">
        <v>729</v>
      </c>
      <c r="B68" s="237">
        <v>225461</v>
      </c>
      <c r="C68" s="237">
        <v>734</v>
      </c>
      <c r="D68" s="237">
        <v>186699</v>
      </c>
      <c r="E68" s="237">
        <v>15096</v>
      </c>
    </row>
    <row r="69" spans="1:5" ht="32.1" customHeight="1">
      <c r="A69" s="236" t="s">
        <v>755</v>
      </c>
      <c r="B69" s="237">
        <v>149420</v>
      </c>
      <c r="C69" s="237">
        <v>698</v>
      </c>
      <c r="D69" s="237">
        <v>127719</v>
      </c>
      <c r="E69" s="237">
        <v>9109</v>
      </c>
    </row>
    <row r="70" spans="1:5" ht="32.1" customHeight="1">
      <c r="A70" s="236" t="s">
        <v>684</v>
      </c>
      <c r="B70" s="237">
        <v>336294</v>
      </c>
      <c r="C70" s="237">
        <v>2602</v>
      </c>
      <c r="D70" s="237">
        <v>253653</v>
      </c>
      <c r="E70" s="237">
        <v>3572</v>
      </c>
    </row>
    <row r="71" spans="1:5" ht="32.1" customHeight="1">
      <c r="A71" s="236" t="s">
        <v>787</v>
      </c>
      <c r="B71" s="237">
        <v>51300</v>
      </c>
      <c r="C71" s="237">
        <v>290</v>
      </c>
      <c r="D71" s="237">
        <v>47767</v>
      </c>
      <c r="E71" s="237">
        <v>505</v>
      </c>
    </row>
    <row r="72" spans="1:5" ht="32.1" customHeight="1">
      <c r="A72" s="236" t="s">
        <v>685</v>
      </c>
      <c r="B72" s="237">
        <v>84672</v>
      </c>
      <c r="C72" s="237">
        <v>342</v>
      </c>
      <c r="D72" s="237">
        <v>77396</v>
      </c>
      <c r="E72" s="237">
        <v>2949</v>
      </c>
    </row>
    <row r="73" spans="1:5" ht="32.1" customHeight="1">
      <c r="A73" s="236" t="s">
        <v>756</v>
      </c>
      <c r="B73" s="237">
        <v>4999</v>
      </c>
      <c r="C73" s="237">
        <v>30</v>
      </c>
      <c r="D73" s="237">
        <v>3748</v>
      </c>
      <c r="E73" s="237">
        <v>53</v>
      </c>
    </row>
    <row r="74" spans="1:5" ht="32.1" customHeight="1">
      <c r="A74" s="236" t="s">
        <v>797</v>
      </c>
      <c r="B74" s="237">
        <v>0</v>
      </c>
      <c r="C74" s="237">
        <v>8</v>
      </c>
      <c r="D74" s="237">
        <v>0</v>
      </c>
      <c r="E74" s="237">
        <v>45</v>
      </c>
    </row>
    <row r="75" spans="1:5" ht="32.1" customHeight="1">
      <c r="A75" s="236" t="s">
        <v>687</v>
      </c>
      <c r="B75" s="237">
        <v>353562</v>
      </c>
      <c r="C75" s="237">
        <v>1320</v>
      </c>
      <c r="D75" s="237">
        <v>292835</v>
      </c>
      <c r="E75" s="237">
        <v>11717</v>
      </c>
    </row>
    <row r="76" spans="1:5" ht="32.1" customHeight="1">
      <c r="A76" s="236" t="s">
        <v>688</v>
      </c>
      <c r="B76" s="237">
        <v>57776</v>
      </c>
      <c r="C76" s="237">
        <v>314</v>
      </c>
      <c r="D76" s="237">
        <v>46610</v>
      </c>
      <c r="E76" s="237">
        <v>764</v>
      </c>
    </row>
    <row r="77" spans="1:5" ht="32.1" customHeight="1">
      <c r="A77" s="236" t="s">
        <v>689</v>
      </c>
      <c r="B77" s="237">
        <v>0</v>
      </c>
      <c r="C77" s="237">
        <v>3613</v>
      </c>
      <c r="D77" s="237">
        <v>0</v>
      </c>
      <c r="E77" s="237">
        <v>42954</v>
      </c>
    </row>
    <row r="78" spans="1:5" ht="32.1" customHeight="1">
      <c r="A78" s="236" t="s">
        <v>731</v>
      </c>
      <c r="B78" s="237">
        <v>104704</v>
      </c>
      <c r="C78" s="237">
        <v>410</v>
      </c>
      <c r="D78" s="237">
        <v>76809</v>
      </c>
      <c r="E78" s="237">
        <v>4104</v>
      </c>
    </row>
    <row r="79" spans="1:5" ht="32.1" customHeight="1">
      <c r="A79" s="236" t="s">
        <v>692</v>
      </c>
      <c r="B79" s="237">
        <v>763761</v>
      </c>
      <c r="C79" s="237">
        <v>4384</v>
      </c>
      <c r="D79" s="237">
        <v>653307</v>
      </c>
      <c r="E79" s="237">
        <v>17483</v>
      </c>
    </row>
    <row r="80" spans="1:5" ht="32.1" customHeight="1">
      <c r="A80" s="236" t="s">
        <v>693</v>
      </c>
      <c r="B80" s="237">
        <v>0</v>
      </c>
      <c r="C80" s="237">
        <v>4</v>
      </c>
      <c r="D80" s="237">
        <v>0</v>
      </c>
      <c r="E80" s="237">
        <v>194</v>
      </c>
    </row>
    <row r="81" spans="1:5" ht="32.1" customHeight="1">
      <c r="A81" s="236" t="s">
        <v>694</v>
      </c>
      <c r="B81" s="237">
        <v>523815</v>
      </c>
      <c r="C81" s="237">
        <v>2189</v>
      </c>
      <c r="D81" s="237">
        <v>429371</v>
      </c>
      <c r="E81" s="237">
        <v>9679</v>
      </c>
    </row>
    <row r="82" spans="1:5" ht="32.1" customHeight="1">
      <c r="A82" s="236" t="s">
        <v>820</v>
      </c>
      <c r="B82" s="237">
        <v>13810</v>
      </c>
      <c r="C82" s="237">
        <v>76</v>
      </c>
      <c r="D82" s="237">
        <v>8537</v>
      </c>
      <c r="E82" s="237">
        <v>83</v>
      </c>
    </row>
    <row r="83" spans="1:5" ht="32.1" customHeight="1">
      <c r="A83" s="236" t="s">
        <v>805</v>
      </c>
      <c r="B83" s="237">
        <v>27288</v>
      </c>
      <c r="C83" s="237">
        <v>168</v>
      </c>
      <c r="D83" s="237">
        <v>23248</v>
      </c>
      <c r="E83" s="237">
        <v>228</v>
      </c>
    </row>
    <row r="84" spans="1:5" ht="32.1" customHeight="1">
      <c r="A84" s="236" t="s">
        <v>696</v>
      </c>
      <c r="B84" s="237">
        <v>1185000</v>
      </c>
      <c r="C84" s="237">
        <v>7017</v>
      </c>
      <c r="D84" s="237">
        <v>888978</v>
      </c>
      <c r="E84" s="237">
        <v>17997</v>
      </c>
    </row>
    <row r="85" spans="1:5" ht="32.1" customHeight="1">
      <c r="A85" s="236" t="s">
        <v>776</v>
      </c>
      <c r="B85" s="237">
        <v>39164</v>
      </c>
      <c r="C85" s="237">
        <v>248</v>
      </c>
      <c r="D85" s="237">
        <v>33538</v>
      </c>
      <c r="E85" s="237">
        <v>405</v>
      </c>
    </row>
    <row r="86" spans="1:5" ht="32.1" customHeight="1">
      <c r="A86" s="236" t="s">
        <v>697</v>
      </c>
      <c r="B86" s="237">
        <v>2136857</v>
      </c>
      <c r="C86" s="237">
        <v>13076</v>
      </c>
      <c r="D86" s="237">
        <v>1636364</v>
      </c>
      <c r="E86" s="237">
        <v>34387</v>
      </c>
    </row>
    <row r="87" spans="1:5" ht="32.1" customHeight="1">
      <c r="A87" s="236" t="s">
        <v>698</v>
      </c>
      <c r="B87" s="237">
        <v>2625072</v>
      </c>
      <c r="C87" s="237">
        <v>15030</v>
      </c>
      <c r="D87" s="237">
        <v>1966731</v>
      </c>
      <c r="E87" s="237">
        <v>41121</v>
      </c>
    </row>
    <row r="88" spans="1:5" ht="32.1" customHeight="1">
      <c r="A88" s="236" t="s">
        <v>699</v>
      </c>
      <c r="B88" s="237">
        <v>185326</v>
      </c>
      <c r="C88" s="237">
        <v>1124</v>
      </c>
      <c r="D88" s="237">
        <v>131066</v>
      </c>
      <c r="E88" s="237">
        <v>3007</v>
      </c>
    </row>
    <row r="89" spans="1:5" ht="32.1" customHeight="1">
      <c r="A89" s="236" t="s">
        <v>700</v>
      </c>
      <c r="B89" s="237">
        <v>0</v>
      </c>
      <c r="C89" s="237">
        <v>190</v>
      </c>
      <c r="D89" s="237">
        <v>0</v>
      </c>
      <c r="E89" s="237">
        <v>1410</v>
      </c>
    </row>
    <row r="90" spans="1:5" ht="32.1" customHeight="1">
      <c r="A90" s="236" t="s">
        <v>701</v>
      </c>
      <c r="B90" s="237">
        <v>89916</v>
      </c>
      <c r="C90" s="237">
        <v>558</v>
      </c>
      <c r="D90" s="237">
        <v>60920</v>
      </c>
      <c r="E90" s="237">
        <v>1267</v>
      </c>
    </row>
    <row r="91" spans="1:5" ht="32.1" customHeight="1">
      <c r="A91" s="236" t="s">
        <v>702</v>
      </c>
      <c r="B91" s="237">
        <v>0</v>
      </c>
      <c r="C91" s="237">
        <v>554</v>
      </c>
      <c r="D91" s="237">
        <v>0</v>
      </c>
      <c r="E91" s="237">
        <v>37920</v>
      </c>
    </row>
    <row r="92" spans="1:5" ht="32.1" customHeight="1">
      <c r="A92" s="236" t="s">
        <v>703</v>
      </c>
      <c r="B92" s="237">
        <v>970483</v>
      </c>
      <c r="C92" s="237">
        <v>4059</v>
      </c>
      <c r="D92" s="237">
        <v>810377</v>
      </c>
      <c r="E92" s="237">
        <v>23168</v>
      </c>
    </row>
    <row r="93" spans="1:5" ht="32.1" customHeight="1">
      <c r="A93" s="236" t="s">
        <v>757</v>
      </c>
      <c r="B93" s="237">
        <v>132838</v>
      </c>
      <c r="C93" s="237">
        <v>738</v>
      </c>
      <c r="D93" s="237">
        <v>98699</v>
      </c>
      <c r="E93" s="237">
        <v>1364</v>
      </c>
    </row>
    <row r="94" spans="1:5" ht="32.1" customHeight="1">
      <c r="A94" s="236" t="s">
        <v>778</v>
      </c>
      <c r="B94" s="237">
        <v>99636</v>
      </c>
      <c r="C94" s="237">
        <v>361</v>
      </c>
      <c r="D94" s="237">
        <v>86296</v>
      </c>
      <c r="E94" s="237">
        <v>4571</v>
      </c>
    </row>
    <row r="95" spans="1:5" ht="32.1" customHeight="1">
      <c r="A95" s="236" t="s">
        <v>779</v>
      </c>
      <c r="B95" s="237">
        <v>612068</v>
      </c>
      <c r="C95" s="237">
        <v>3377</v>
      </c>
      <c r="D95" s="237">
        <v>478974</v>
      </c>
      <c r="E95" s="237">
        <v>6003</v>
      </c>
    </row>
    <row r="96" spans="1:5" ht="32.1" customHeight="1">
      <c r="A96" s="236" t="s">
        <v>704</v>
      </c>
      <c r="B96" s="237">
        <v>0</v>
      </c>
      <c r="C96" s="237">
        <v>302</v>
      </c>
      <c r="D96" s="237">
        <v>0</v>
      </c>
      <c r="E96" s="237">
        <v>15961</v>
      </c>
    </row>
    <row r="97" spans="1:5" ht="32.1" customHeight="1">
      <c r="A97" s="236" t="s">
        <v>705</v>
      </c>
      <c r="B97" s="237">
        <v>318902</v>
      </c>
      <c r="C97" s="237">
        <v>1230</v>
      </c>
      <c r="D97" s="237">
        <v>251396</v>
      </c>
      <c r="E97" s="237">
        <v>49469</v>
      </c>
    </row>
    <row r="98" spans="1:5" ht="32.1" customHeight="1">
      <c r="A98" s="236" t="s">
        <v>706</v>
      </c>
      <c r="B98" s="237">
        <v>0</v>
      </c>
      <c r="C98" s="237">
        <v>449</v>
      </c>
      <c r="D98" s="237">
        <v>0</v>
      </c>
      <c r="E98" s="237">
        <v>30569</v>
      </c>
    </row>
    <row r="99" spans="1:5" ht="32.1" customHeight="1">
      <c r="A99" s="236" t="s">
        <v>798</v>
      </c>
      <c r="B99" s="237">
        <v>22220</v>
      </c>
      <c r="C99" s="237">
        <v>126</v>
      </c>
      <c r="D99" s="237">
        <v>21201</v>
      </c>
      <c r="E99" s="237">
        <v>203</v>
      </c>
    </row>
    <row r="100" spans="1:5" ht="32.1" customHeight="1">
      <c r="A100" s="236" t="s">
        <v>707</v>
      </c>
      <c r="B100" s="237">
        <v>1257174</v>
      </c>
      <c r="C100" s="237">
        <v>4476</v>
      </c>
      <c r="D100" s="237">
        <v>1043579</v>
      </c>
      <c r="E100" s="237">
        <v>57626</v>
      </c>
    </row>
    <row r="101" spans="1:5" ht="32.1" customHeight="1">
      <c r="A101" s="236" t="s">
        <v>708</v>
      </c>
      <c r="B101" s="237">
        <v>183002</v>
      </c>
      <c r="C101" s="237">
        <v>1064</v>
      </c>
      <c r="D101" s="237">
        <v>137432</v>
      </c>
      <c r="E101" s="237">
        <v>2168</v>
      </c>
    </row>
    <row r="102" spans="1:5" ht="32.1" customHeight="1">
      <c r="A102" s="236" t="s">
        <v>807</v>
      </c>
      <c r="B102" s="237">
        <v>205920</v>
      </c>
      <c r="C102" s="237">
        <v>1147</v>
      </c>
      <c r="D102" s="237">
        <v>157826</v>
      </c>
      <c r="E102" s="237">
        <v>1472</v>
      </c>
    </row>
    <row r="103" spans="1:5" ht="32.1" customHeight="1">
      <c r="A103" s="236" t="s">
        <v>788</v>
      </c>
      <c r="B103" s="237">
        <v>599053</v>
      </c>
      <c r="C103" s="237">
        <v>1591</v>
      </c>
      <c r="D103" s="237">
        <v>522608</v>
      </c>
      <c r="E103" s="237">
        <v>11450</v>
      </c>
    </row>
    <row r="104" spans="1:5" ht="32.1" customHeight="1">
      <c r="A104" s="236" t="s">
        <v>709</v>
      </c>
      <c r="B104" s="237">
        <v>1236746</v>
      </c>
      <c r="C104" s="237">
        <v>3451</v>
      </c>
      <c r="D104" s="237">
        <v>934905</v>
      </c>
      <c r="E104" s="237">
        <v>46679</v>
      </c>
    </row>
    <row r="105" spans="1:5" ht="32.1" customHeight="1">
      <c r="A105" s="236" t="s">
        <v>710</v>
      </c>
      <c r="B105" s="237">
        <v>375236</v>
      </c>
      <c r="C105" s="237">
        <v>1342</v>
      </c>
      <c r="D105" s="237">
        <v>321974</v>
      </c>
      <c r="E105" s="237">
        <v>28229</v>
      </c>
    </row>
    <row r="106" spans="1:5" ht="32.1" customHeight="1">
      <c r="A106" s="236" t="s">
        <v>821</v>
      </c>
      <c r="B106" s="237">
        <v>59472</v>
      </c>
      <c r="C106" s="237">
        <v>381</v>
      </c>
      <c r="D106" s="237">
        <v>42764</v>
      </c>
      <c r="E106" s="237">
        <v>486</v>
      </c>
    </row>
    <row r="107" spans="1:5" ht="32.1" customHeight="1">
      <c r="A107" s="236" t="s">
        <v>808</v>
      </c>
      <c r="B107" s="237">
        <v>110070</v>
      </c>
      <c r="C107" s="237">
        <v>633</v>
      </c>
      <c r="D107" s="237">
        <v>73550</v>
      </c>
      <c r="E107" s="237">
        <v>723</v>
      </c>
    </row>
    <row r="108" spans="1:5" ht="32.1" customHeight="1">
      <c r="A108" s="236" t="s">
        <v>712</v>
      </c>
      <c r="B108" s="237">
        <v>0</v>
      </c>
      <c r="C108" s="237">
        <v>2647</v>
      </c>
      <c r="D108" s="237">
        <v>0</v>
      </c>
      <c r="E108" s="237">
        <v>61698</v>
      </c>
    </row>
    <row r="109" spans="1:5" ht="32.1" customHeight="1">
      <c r="A109" s="236" t="s">
        <v>713</v>
      </c>
      <c r="B109" s="237">
        <v>0</v>
      </c>
      <c r="C109" s="237">
        <v>4005</v>
      </c>
      <c r="D109" s="237">
        <v>0</v>
      </c>
      <c r="E109" s="237">
        <v>121439</v>
      </c>
    </row>
    <row r="110" spans="1:5" ht="32.1" customHeight="1">
      <c r="A110" s="236" t="s">
        <v>809</v>
      </c>
      <c r="B110" s="237">
        <v>104832</v>
      </c>
      <c r="C110" s="237">
        <v>416</v>
      </c>
      <c r="D110" s="237">
        <v>86900</v>
      </c>
      <c r="E110" s="237">
        <v>5468</v>
      </c>
    </row>
    <row r="111" spans="1:5" ht="32.1" customHeight="1">
      <c r="A111" s="236" t="s">
        <v>715</v>
      </c>
      <c r="B111" s="237">
        <v>265436</v>
      </c>
      <c r="C111" s="237">
        <v>734</v>
      </c>
      <c r="D111" s="237">
        <v>227161</v>
      </c>
      <c r="E111" s="237">
        <v>15829</v>
      </c>
    </row>
    <row r="112" spans="1:5" ht="32.1" customHeight="1">
      <c r="A112" s="236" t="s">
        <v>759</v>
      </c>
      <c r="B112" s="237">
        <v>912960</v>
      </c>
      <c r="C112" s="237">
        <v>5072</v>
      </c>
      <c r="D112" s="237">
        <v>778714</v>
      </c>
      <c r="E112" s="237">
        <v>4219</v>
      </c>
    </row>
    <row r="113" spans="1:5" ht="32.1" customHeight="1">
      <c r="A113" s="236" t="s">
        <v>716</v>
      </c>
      <c r="B113" s="237">
        <v>230186</v>
      </c>
      <c r="C113" s="237">
        <v>726</v>
      </c>
      <c r="D113" s="237">
        <v>199461</v>
      </c>
      <c r="E113" s="237">
        <v>12976</v>
      </c>
    </row>
    <row r="114" spans="1:5" ht="32.1" customHeight="1">
      <c r="A114" s="236" t="s">
        <v>822</v>
      </c>
      <c r="B114" s="237">
        <v>12068</v>
      </c>
      <c r="C114" s="237">
        <v>67</v>
      </c>
      <c r="D114" s="237">
        <v>10018</v>
      </c>
      <c r="E114" s="237">
        <v>94</v>
      </c>
    </row>
    <row r="115" spans="1:5" ht="32.1" customHeight="1">
      <c r="A115" s="236" t="s">
        <v>717</v>
      </c>
      <c r="B115" s="237">
        <v>588124</v>
      </c>
      <c r="C115" s="237">
        <v>3268</v>
      </c>
      <c r="D115" s="237">
        <v>463353</v>
      </c>
      <c r="E115" s="237">
        <v>5216</v>
      </c>
    </row>
    <row r="116" spans="1:5" ht="32.1" customHeight="1">
      <c r="A116" s="236" t="s">
        <v>718</v>
      </c>
      <c r="B116" s="237">
        <v>1210501</v>
      </c>
      <c r="C116" s="237">
        <v>5245</v>
      </c>
      <c r="D116" s="237">
        <v>949558</v>
      </c>
      <c r="E116" s="237">
        <v>18631</v>
      </c>
    </row>
    <row r="117" spans="1:5" ht="32.1" customHeight="1">
      <c r="A117" s="236" t="s">
        <v>745</v>
      </c>
      <c r="B117" s="237">
        <v>153244</v>
      </c>
      <c r="C117" s="237">
        <v>522</v>
      </c>
      <c r="D117" s="237">
        <v>131589</v>
      </c>
      <c r="E117" s="237">
        <v>5406</v>
      </c>
    </row>
    <row r="118" spans="1:5" ht="32.1" customHeight="1">
      <c r="A118" s="236" t="s">
        <v>719</v>
      </c>
      <c r="B118" s="237">
        <v>3572</v>
      </c>
      <c r="C118" s="237">
        <v>22</v>
      </c>
      <c r="D118" s="237">
        <v>3465</v>
      </c>
      <c r="E118" s="237">
        <v>39</v>
      </c>
    </row>
    <row r="119" spans="1:5" ht="32.1" customHeight="1">
      <c r="A119" s="236" t="s">
        <v>720</v>
      </c>
      <c r="B119" s="237">
        <v>736376</v>
      </c>
      <c r="C119" s="237">
        <v>3623</v>
      </c>
      <c r="D119" s="237">
        <v>657422</v>
      </c>
      <c r="E119" s="237">
        <v>8186</v>
      </c>
    </row>
    <row r="120" spans="1:5" ht="32.1" customHeight="1">
      <c r="A120" s="236" t="s">
        <v>789</v>
      </c>
      <c r="B120" s="237">
        <v>195796</v>
      </c>
      <c r="C120" s="237">
        <v>928</v>
      </c>
      <c r="D120" s="237">
        <v>164763</v>
      </c>
      <c r="E120" s="237">
        <v>4647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3D41-7D43-4C52-BD6B-0B1905CF135F}">
  <dimension ref="A1:E117"/>
  <sheetViews>
    <sheetView workbookViewId="0">
      <selection sqref="A1:E1"/>
    </sheetView>
  </sheetViews>
  <sheetFormatPr defaultColWidth="9" defaultRowHeight="16.5"/>
  <cols>
    <col min="1" max="1" width="48.5" style="14" customWidth="1"/>
    <col min="2" max="3" width="28.375" style="14" customWidth="1"/>
    <col min="4" max="5" width="28.5" style="14" customWidth="1"/>
    <col min="6" max="16384" width="9" style="14"/>
  </cols>
  <sheetData>
    <row r="1" spans="1:5" ht="33.950000000000003" customHeight="1">
      <c r="A1" s="435" t="s">
        <v>823</v>
      </c>
      <c r="B1" s="436"/>
      <c r="C1" s="436"/>
      <c r="D1" s="436"/>
      <c r="E1" s="436"/>
    </row>
    <row r="2" spans="1:5" ht="36.950000000000003" customHeight="1">
      <c r="A2" s="235" t="s">
        <v>624</v>
      </c>
      <c r="B2" s="235" t="s">
        <v>625</v>
      </c>
      <c r="C2" s="235" t="s">
        <v>626</v>
      </c>
      <c r="D2" s="235" t="s">
        <v>340</v>
      </c>
      <c r="E2" s="235" t="s">
        <v>342</v>
      </c>
    </row>
    <row r="3" spans="1:5" ht="32.1" customHeight="1">
      <c r="A3" s="236" t="s">
        <v>627</v>
      </c>
      <c r="B3" s="237">
        <v>140984316</v>
      </c>
      <c r="C3" s="237">
        <v>691523</v>
      </c>
      <c r="D3" s="237">
        <v>118490493</v>
      </c>
      <c r="E3" s="237">
        <v>4442001</v>
      </c>
    </row>
    <row r="4" spans="1:5" ht="32.1" customHeight="1">
      <c r="A4" s="236" t="s">
        <v>628</v>
      </c>
      <c r="B4" s="237">
        <v>107630602</v>
      </c>
      <c r="C4" s="237">
        <v>524690</v>
      </c>
      <c r="D4" s="237">
        <v>91273049</v>
      </c>
      <c r="E4" s="237">
        <v>3069951</v>
      </c>
    </row>
    <row r="5" spans="1:5" ht="32.1" customHeight="1">
      <c r="A5" s="236" t="s">
        <v>629</v>
      </c>
      <c r="B5" s="237">
        <v>34581717</v>
      </c>
      <c r="C5" s="237">
        <v>161805</v>
      </c>
      <c r="D5" s="237">
        <v>27239631</v>
      </c>
      <c r="E5" s="237">
        <v>1719674</v>
      </c>
    </row>
    <row r="6" spans="1:5" ht="32.1" customHeight="1">
      <c r="A6" s="236" t="s">
        <v>630</v>
      </c>
      <c r="B6" s="237">
        <v>23417538</v>
      </c>
      <c r="C6" s="237">
        <v>106212</v>
      </c>
      <c r="D6" s="237">
        <v>20015328</v>
      </c>
      <c r="E6" s="237">
        <v>977787</v>
      </c>
    </row>
    <row r="7" spans="1:5" ht="32.1" customHeight="1">
      <c r="A7" s="236" t="s">
        <v>631</v>
      </c>
      <c r="B7" s="237">
        <v>13247853</v>
      </c>
      <c r="C7" s="237">
        <v>70138</v>
      </c>
      <c r="D7" s="237">
        <v>12082012</v>
      </c>
      <c r="E7" s="237">
        <v>95671</v>
      </c>
    </row>
    <row r="8" spans="1:5" ht="32.1" customHeight="1">
      <c r="A8" s="236" t="s">
        <v>632</v>
      </c>
      <c r="B8" s="237">
        <v>10131816</v>
      </c>
      <c r="C8" s="237">
        <v>47841</v>
      </c>
      <c r="D8" s="237">
        <v>8992497</v>
      </c>
      <c r="E8" s="237">
        <v>88746</v>
      </c>
    </row>
    <row r="9" spans="1:5" ht="32.1" customHeight="1">
      <c r="A9" s="236" t="s">
        <v>633</v>
      </c>
      <c r="B9" s="237">
        <v>9484996</v>
      </c>
      <c r="C9" s="237">
        <v>49122</v>
      </c>
      <c r="D9" s="237">
        <v>8151790</v>
      </c>
      <c r="E9" s="237">
        <v>59161</v>
      </c>
    </row>
    <row r="10" spans="1:5" ht="32.1" customHeight="1">
      <c r="A10" s="236" t="s">
        <v>634</v>
      </c>
      <c r="B10" s="237">
        <v>6720627</v>
      </c>
      <c r="C10" s="237">
        <v>35372</v>
      </c>
      <c r="D10" s="237">
        <v>5954290</v>
      </c>
      <c r="E10" s="237">
        <v>43190</v>
      </c>
    </row>
    <row r="11" spans="1:5" ht="32.1" customHeight="1">
      <c r="A11" s="236" t="s">
        <v>722</v>
      </c>
      <c r="B11" s="237">
        <v>8020065</v>
      </c>
      <c r="C11" s="237">
        <v>42492</v>
      </c>
      <c r="D11" s="237">
        <v>7109469</v>
      </c>
      <c r="E11" s="237">
        <v>51782</v>
      </c>
    </row>
    <row r="12" spans="1:5" ht="32.1" customHeight="1">
      <c r="A12" s="236" t="s">
        <v>762</v>
      </c>
      <c r="B12" s="237">
        <v>0</v>
      </c>
      <c r="C12" s="237">
        <v>1537</v>
      </c>
      <c r="D12" s="237">
        <v>0</v>
      </c>
      <c r="E12" s="237">
        <v>18246</v>
      </c>
    </row>
    <row r="13" spans="1:5" ht="32.1" customHeight="1">
      <c r="A13" s="236" t="s">
        <v>800</v>
      </c>
      <c r="B13" s="237">
        <v>2025990</v>
      </c>
      <c r="C13" s="237">
        <v>10171</v>
      </c>
      <c r="D13" s="237">
        <v>1728032</v>
      </c>
      <c r="E13" s="237">
        <v>15694</v>
      </c>
    </row>
    <row r="14" spans="1:5" ht="32.1" customHeight="1">
      <c r="A14" s="236" t="s">
        <v>635</v>
      </c>
      <c r="B14" s="237">
        <v>33353714</v>
      </c>
      <c r="C14" s="237">
        <v>166833</v>
      </c>
      <c r="D14" s="237">
        <v>27217444</v>
      </c>
      <c r="E14" s="237">
        <v>1372050</v>
      </c>
    </row>
    <row r="15" spans="1:5" ht="32.1" customHeight="1">
      <c r="A15" s="236" t="s">
        <v>638</v>
      </c>
      <c r="B15" s="237">
        <v>358483</v>
      </c>
      <c r="C15" s="237">
        <v>1296</v>
      </c>
      <c r="D15" s="237">
        <v>259398</v>
      </c>
      <c r="E15" s="237">
        <v>14947</v>
      </c>
    </row>
    <row r="16" spans="1:5" ht="32.1" customHeight="1">
      <c r="A16" s="236" t="s">
        <v>801</v>
      </c>
      <c r="B16" s="237">
        <v>0</v>
      </c>
      <c r="C16" s="237">
        <v>2</v>
      </c>
      <c r="D16" s="237">
        <v>0</v>
      </c>
      <c r="E16" s="237">
        <v>58</v>
      </c>
    </row>
    <row r="17" spans="1:5" ht="32.1" customHeight="1">
      <c r="A17" s="236" t="s">
        <v>641</v>
      </c>
      <c r="B17" s="237">
        <v>220976</v>
      </c>
      <c r="C17" s="237">
        <v>724</v>
      </c>
      <c r="D17" s="237">
        <v>200130</v>
      </c>
      <c r="E17" s="237">
        <v>23236</v>
      </c>
    </row>
    <row r="18" spans="1:5" ht="32.1" customHeight="1">
      <c r="A18" s="236" t="s">
        <v>643</v>
      </c>
      <c r="B18" s="237">
        <v>580467</v>
      </c>
      <c r="C18" s="237">
        <v>2135</v>
      </c>
      <c r="D18" s="237">
        <v>535226</v>
      </c>
      <c r="E18" s="237">
        <v>23985</v>
      </c>
    </row>
    <row r="19" spans="1:5" ht="32.1" customHeight="1">
      <c r="A19" s="236" t="s">
        <v>811</v>
      </c>
      <c r="B19" s="237">
        <v>0</v>
      </c>
      <c r="C19" s="237">
        <v>2</v>
      </c>
      <c r="D19" s="237">
        <v>0</v>
      </c>
      <c r="E19" s="237">
        <v>16</v>
      </c>
    </row>
    <row r="20" spans="1:5" ht="32.1" customHeight="1">
      <c r="A20" s="236" t="s">
        <v>765</v>
      </c>
      <c r="B20" s="237">
        <v>137030</v>
      </c>
      <c r="C20" s="237">
        <v>925</v>
      </c>
      <c r="D20" s="237">
        <v>87221</v>
      </c>
      <c r="E20" s="237">
        <v>1482</v>
      </c>
    </row>
    <row r="21" spans="1:5" ht="32.1" customHeight="1">
      <c r="A21" s="236" t="s">
        <v>812</v>
      </c>
      <c r="B21" s="237">
        <v>10440</v>
      </c>
      <c r="C21" s="237">
        <v>59</v>
      </c>
      <c r="D21" s="237">
        <v>10080</v>
      </c>
      <c r="E21" s="237">
        <v>113</v>
      </c>
    </row>
    <row r="22" spans="1:5" ht="32.1" customHeight="1">
      <c r="A22" s="236" t="s">
        <v>645</v>
      </c>
      <c r="B22" s="237">
        <v>287721</v>
      </c>
      <c r="C22" s="237">
        <v>727</v>
      </c>
      <c r="D22" s="237">
        <v>240681</v>
      </c>
      <c r="E22" s="237">
        <v>10653</v>
      </c>
    </row>
    <row r="23" spans="1:5" ht="32.1" customHeight="1">
      <c r="A23" s="236" t="s">
        <v>646</v>
      </c>
      <c r="B23" s="237">
        <v>400524</v>
      </c>
      <c r="C23" s="237">
        <v>1223</v>
      </c>
      <c r="D23" s="237">
        <v>335914</v>
      </c>
      <c r="E23" s="237">
        <v>19041</v>
      </c>
    </row>
    <row r="24" spans="1:5" ht="32.1" customHeight="1">
      <c r="A24" s="236" t="s">
        <v>647</v>
      </c>
      <c r="B24" s="237">
        <v>0</v>
      </c>
      <c r="C24" s="237">
        <v>676</v>
      </c>
      <c r="D24" s="237">
        <v>0</v>
      </c>
      <c r="E24" s="237">
        <v>14349</v>
      </c>
    </row>
    <row r="25" spans="1:5" ht="32.1" customHeight="1">
      <c r="A25" s="236" t="s">
        <v>824</v>
      </c>
      <c r="B25" s="237">
        <v>10440</v>
      </c>
      <c r="C25" s="237">
        <v>60</v>
      </c>
      <c r="D25" s="237">
        <v>3491</v>
      </c>
      <c r="E25" s="237">
        <v>35</v>
      </c>
    </row>
    <row r="26" spans="1:5" ht="32.1" customHeight="1">
      <c r="A26" s="236" t="s">
        <v>648</v>
      </c>
      <c r="B26" s="237">
        <v>11232</v>
      </c>
      <c r="C26" s="237">
        <v>109</v>
      </c>
      <c r="D26" s="237">
        <v>8840</v>
      </c>
      <c r="E26" s="237">
        <v>131</v>
      </c>
    </row>
    <row r="27" spans="1:5" ht="32.1" customHeight="1">
      <c r="A27" s="236" t="s">
        <v>649</v>
      </c>
      <c r="B27" s="237">
        <v>393660</v>
      </c>
      <c r="C27" s="237">
        <v>1127</v>
      </c>
      <c r="D27" s="237">
        <v>306347</v>
      </c>
      <c r="E27" s="237">
        <v>17277</v>
      </c>
    </row>
    <row r="28" spans="1:5" ht="32.1" customHeight="1">
      <c r="A28" s="236" t="s">
        <v>825</v>
      </c>
      <c r="B28" s="237">
        <v>960</v>
      </c>
      <c r="C28" s="237">
        <v>6</v>
      </c>
      <c r="D28" s="237">
        <v>771</v>
      </c>
      <c r="E28" s="237">
        <v>9</v>
      </c>
    </row>
    <row r="29" spans="1:5" ht="32.1" customHeight="1">
      <c r="A29" s="236" t="s">
        <v>650</v>
      </c>
      <c r="B29" s="237">
        <v>239464</v>
      </c>
      <c r="C29" s="237">
        <v>1086</v>
      </c>
      <c r="D29" s="237">
        <v>198200</v>
      </c>
      <c r="E29" s="237">
        <v>5502</v>
      </c>
    </row>
    <row r="30" spans="1:5" ht="32.1" customHeight="1">
      <c r="A30" s="236" t="s">
        <v>651</v>
      </c>
      <c r="B30" s="237">
        <v>0</v>
      </c>
      <c r="C30" s="237">
        <v>140</v>
      </c>
      <c r="D30" s="237">
        <v>0</v>
      </c>
      <c r="E30" s="237">
        <v>4961</v>
      </c>
    </row>
    <row r="31" spans="1:5" ht="32.1" customHeight="1">
      <c r="A31" s="236" t="s">
        <v>652</v>
      </c>
      <c r="B31" s="237">
        <v>1433516</v>
      </c>
      <c r="C31" s="237">
        <v>5752</v>
      </c>
      <c r="D31" s="237">
        <v>1197321</v>
      </c>
      <c r="E31" s="237">
        <v>45372</v>
      </c>
    </row>
    <row r="32" spans="1:5" ht="32.1" customHeight="1">
      <c r="A32" s="236" t="s">
        <v>653</v>
      </c>
      <c r="B32" s="237">
        <v>0</v>
      </c>
      <c r="C32" s="237">
        <v>17</v>
      </c>
      <c r="D32" s="237">
        <v>0</v>
      </c>
      <c r="E32" s="237">
        <v>594</v>
      </c>
    </row>
    <row r="33" spans="1:5" ht="32.1" customHeight="1">
      <c r="A33" s="236" t="s">
        <v>750</v>
      </c>
      <c r="B33" s="237">
        <v>37026</v>
      </c>
      <c r="C33" s="237">
        <v>247</v>
      </c>
      <c r="D33" s="237">
        <v>23806</v>
      </c>
      <c r="E33" s="237">
        <v>448</v>
      </c>
    </row>
    <row r="34" spans="1:5" ht="32.1" customHeight="1">
      <c r="A34" s="236" t="s">
        <v>769</v>
      </c>
      <c r="B34" s="237">
        <v>1580460</v>
      </c>
      <c r="C34" s="237">
        <v>7323</v>
      </c>
      <c r="D34" s="237">
        <v>1333475</v>
      </c>
      <c r="E34" s="237">
        <v>17715</v>
      </c>
    </row>
    <row r="35" spans="1:5" ht="32.1" customHeight="1">
      <c r="A35" s="236" t="s">
        <v>724</v>
      </c>
      <c r="B35" s="237">
        <v>57352</v>
      </c>
      <c r="C35" s="237">
        <v>308</v>
      </c>
      <c r="D35" s="237">
        <v>46310</v>
      </c>
      <c r="E35" s="237">
        <v>714</v>
      </c>
    </row>
    <row r="36" spans="1:5" ht="32.1" customHeight="1">
      <c r="A36" s="236" t="s">
        <v>658</v>
      </c>
      <c r="B36" s="237">
        <v>1049236</v>
      </c>
      <c r="C36" s="237">
        <v>6188</v>
      </c>
      <c r="D36" s="237">
        <v>829810</v>
      </c>
      <c r="E36" s="237">
        <v>14614</v>
      </c>
    </row>
    <row r="37" spans="1:5" ht="32.1" customHeight="1">
      <c r="A37" s="236" t="s">
        <v>659</v>
      </c>
      <c r="B37" s="237">
        <v>408714</v>
      </c>
      <c r="C37" s="237">
        <v>2380</v>
      </c>
      <c r="D37" s="237">
        <v>332565</v>
      </c>
      <c r="E37" s="237">
        <v>5682</v>
      </c>
    </row>
    <row r="38" spans="1:5" ht="32.1" customHeight="1">
      <c r="A38" s="236" t="s">
        <v>660</v>
      </c>
      <c r="B38" s="237">
        <v>510454</v>
      </c>
      <c r="C38" s="237">
        <v>1806</v>
      </c>
      <c r="D38" s="237">
        <v>405073</v>
      </c>
      <c r="E38" s="237">
        <v>10427</v>
      </c>
    </row>
    <row r="39" spans="1:5" ht="32.1" customHeight="1">
      <c r="A39" s="236" t="s">
        <v>826</v>
      </c>
      <c r="B39" s="237">
        <v>354</v>
      </c>
      <c r="C39" s="237">
        <v>2</v>
      </c>
      <c r="D39" s="237">
        <v>74</v>
      </c>
      <c r="E39" s="237">
        <v>1</v>
      </c>
    </row>
    <row r="40" spans="1:5" ht="32.1" customHeight="1">
      <c r="A40" s="236" t="s">
        <v>739</v>
      </c>
      <c r="B40" s="237">
        <v>117908</v>
      </c>
      <c r="C40" s="237">
        <v>586</v>
      </c>
      <c r="D40" s="237">
        <v>101997</v>
      </c>
      <c r="E40" s="237">
        <v>1019</v>
      </c>
    </row>
    <row r="41" spans="1:5" ht="32.1" customHeight="1">
      <c r="A41" s="236" t="s">
        <v>816</v>
      </c>
      <c r="B41" s="237">
        <v>117710</v>
      </c>
      <c r="C41" s="237">
        <v>312</v>
      </c>
      <c r="D41" s="237">
        <v>105534</v>
      </c>
      <c r="E41" s="237">
        <v>3515</v>
      </c>
    </row>
    <row r="42" spans="1:5" ht="32.1" customHeight="1">
      <c r="A42" s="236" t="s">
        <v>662</v>
      </c>
      <c r="B42" s="237">
        <v>4800</v>
      </c>
      <c r="C42" s="237">
        <v>32</v>
      </c>
      <c r="D42" s="237">
        <v>1993</v>
      </c>
      <c r="E42" s="237">
        <v>17</v>
      </c>
    </row>
    <row r="43" spans="1:5" ht="32.1" customHeight="1">
      <c r="A43" s="236" t="s">
        <v>663</v>
      </c>
      <c r="B43" s="237">
        <v>200396</v>
      </c>
      <c r="C43" s="237">
        <v>1230</v>
      </c>
      <c r="D43" s="237">
        <v>164139</v>
      </c>
      <c r="E43" s="237">
        <v>1942</v>
      </c>
    </row>
    <row r="44" spans="1:5" ht="32.1" customHeight="1">
      <c r="A44" s="236" t="s">
        <v>783</v>
      </c>
      <c r="B44" s="237">
        <v>1296</v>
      </c>
      <c r="C44" s="237">
        <v>8</v>
      </c>
      <c r="D44" s="237">
        <v>1061</v>
      </c>
      <c r="E44" s="237">
        <v>18</v>
      </c>
    </row>
    <row r="45" spans="1:5" ht="32.1" customHeight="1">
      <c r="A45" s="236" t="s">
        <v>784</v>
      </c>
      <c r="B45" s="237">
        <v>0</v>
      </c>
      <c r="C45" s="237">
        <v>326</v>
      </c>
      <c r="D45" s="237">
        <v>0</v>
      </c>
      <c r="E45" s="237">
        <v>17482</v>
      </c>
    </row>
    <row r="46" spans="1:5" ht="32.1" customHeight="1">
      <c r="A46" s="236" t="s">
        <v>664</v>
      </c>
      <c r="B46" s="237">
        <v>0</v>
      </c>
      <c r="C46" s="237">
        <v>2</v>
      </c>
      <c r="D46" s="237">
        <v>0</v>
      </c>
      <c r="E46" s="237">
        <v>13</v>
      </c>
    </row>
    <row r="47" spans="1:5" ht="32.1" customHeight="1">
      <c r="A47" s="236" t="s">
        <v>665</v>
      </c>
      <c r="B47" s="237">
        <v>1022604</v>
      </c>
      <c r="C47" s="237">
        <v>3592</v>
      </c>
      <c r="D47" s="237">
        <v>733331</v>
      </c>
      <c r="E47" s="237">
        <v>40331</v>
      </c>
    </row>
    <row r="48" spans="1:5" ht="32.1" customHeight="1">
      <c r="A48" s="236" t="s">
        <v>771</v>
      </c>
      <c r="B48" s="237">
        <v>207938</v>
      </c>
      <c r="C48" s="237">
        <v>730</v>
      </c>
      <c r="D48" s="237">
        <v>189622</v>
      </c>
      <c r="E48" s="237">
        <v>8996</v>
      </c>
    </row>
    <row r="49" spans="1:5" ht="32.1" customHeight="1">
      <c r="A49" s="236" t="s">
        <v>804</v>
      </c>
      <c r="B49" s="237">
        <v>0</v>
      </c>
      <c r="C49" s="237">
        <v>1</v>
      </c>
      <c r="D49" s="237">
        <v>0</v>
      </c>
      <c r="E49" s="237">
        <v>2</v>
      </c>
    </row>
    <row r="50" spans="1:5" ht="32.1" customHeight="1">
      <c r="A50" s="236" t="s">
        <v>817</v>
      </c>
      <c r="B50" s="237">
        <v>101088</v>
      </c>
      <c r="C50" s="237">
        <v>416</v>
      </c>
      <c r="D50" s="237">
        <v>80198</v>
      </c>
      <c r="E50" s="237">
        <v>4635</v>
      </c>
    </row>
    <row r="51" spans="1:5" ht="32.1" customHeight="1">
      <c r="A51" s="236" t="s">
        <v>818</v>
      </c>
      <c r="B51" s="237">
        <v>0</v>
      </c>
      <c r="C51" s="237">
        <v>3</v>
      </c>
      <c r="D51" s="237">
        <v>0</v>
      </c>
      <c r="E51" s="237">
        <v>4</v>
      </c>
    </row>
    <row r="52" spans="1:5" ht="32.1" customHeight="1">
      <c r="A52" s="236" t="s">
        <v>668</v>
      </c>
      <c r="B52" s="237">
        <v>0</v>
      </c>
      <c r="C52" s="237">
        <v>860</v>
      </c>
      <c r="D52" s="237">
        <v>0</v>
      </c>
      <c r="E52" s="237">
        <v>43933</v>
      </c>
    </row>
    <row r="53" spans="1:5" ht="32.1" customHeight="1">
      <c r="A53" s="236" t="s">
        <v>669</v>
      </c>
      <c r="B53" s="237">
        <v>0</v>
      </c>
      <c r="C53" s="237">
        <v>4</v>
      </c>
      <c r="D53" s="237">
        <v>0</v>
      </c>
      <c r="E53" s="237">
        <v>275</v>
      </c>
    </row>
    <row r="54" spans="1:5" ht="32.1" customHeight="1">
      <c r="A54" s="236" t="s">
        <v>786</v>
      </c>
      <c r="B54" s="237">
        <v>95966</v>
      </c>
      <c r="C54" s="237">
        <v>384</v>
      </c>
      <c r="D54" s="237">
        <v>81456</v>
      </c>
      <c r="E54" s="237">
        <v>4235</v>
      </c>
    </row>
    <row r="55" spans="1:5" ht="32.1" customHeight="1">
      <c r="A55" s="236" t="s">
        <v>671</v>
      </c>
      <c r="B55" s="237">
        <v>49092</v>
      </c>
      <c r="C55" s="237">
        <v>447</v>
      </c>
      <c r="D55" s="237">
        <v>31276</v>
      </c>
      <c r="E55" s="237">
        <v>341</v>
      </c>
    </row>
    <row r="56" spans="1:5" ht="32.1" customHeight="1">
      <c r="A56" s="236" t="s">
        <v>673</v>
      </c>
      <c r="B56" s="237">
        <v>402295</v>
      </c>
      <c r="C56" s="237">
        <v>778</v>
      </c>
      <c r="D56" s="237">
        <v>338845</v>
      </c>
      <c r="E56" s="237">
        <v>15783</v>
      </c>
    </row>
    <row r="57" spans="1:5" ht="32.1" customHeight="1">
      <c r="A57" s="236" t="s">
        <v>674</v>
      </c>
      <c r="B57" s="237">
        <v>756294</v>
      </c>
      <c r="C57" s="237">
        <v>3246</v>
      </c>
      <c r="D57" s="237">
        <v>665746</v>
      </c>
      <c r="E57" s="237">
        <v>19341</v>
      </c>
    </row>
    <row r="58" spans="1:5" ht="32.1" customHeight="1">
      <c r="A58" s="236" t="s">
        <v>726</v>
      </c>
      <c r="B58" s="237">
        <v>0</v>
      </c>
      <c r="C58" s="237">
        <v>104</v>
      </c>
      <c r="D58" s="237">
        <v>0</v>
      </c>
      <c r="E58" s="237">
        <v>3350</v>
      </c>
    </row>
    <row r="59" spans="1:5" ht="32.1" customHeight="1">
      <c r="A59" s="236" t="s">
        <v>676</v>
      </c>
      <c r="B59" s="237">
        <v>261278</v>
      </c>
      <c r="C59" s="237">
        <v>1470</v>
      </c>
      <c r="D59" s="237">
        <v>226192</v>
      </c>
      <c r="E59" s="237">
        <v>4128</v>
      </c>
    </row>
    <row r="60" spans="1:5" ht="32.1" customHeight="1">
      <c r="A60" s="236" t="s">
        <v>677</v>
      </c>
      <c r="B60" s="237">
        <v>0</v>
      </c>
      <c r="C60" s="237">
        <v>751</v>
      </c>
      <c r="D60" s="237">
        <v>0</v>
      </c>
      <c r="E60" s="237">
        <v>31537</v>
      </c>
    </row>
    <row r="61" spans="1:5" ht="32.1" customHeight="1">
      <c r="A61" s="236" t="s">
        <v>679</v>
      </c>
      <c r="B61" s="237">
        <v>140580</v>
      </c>
      <c r="C61" s="237">
        <v>676</v>
      </c>
      <c r="D61" s="237">
        <v>105023</v>
      </c>
      <c r="E61" s="237">
        <v>3048</v>
      </c>
    </row>
    <row r="62" spans="1:5" ht="32.1" customHeight="1">
      <c r="A62" s="236" t="s">
        <v>727</v>
      </c>
      <c r="B62" s="237">
        <v>1073636</v>
      </c>
      <c r="C62" s="237">
        <v>2849</v>
      </c>
      <c r="D62" s="237">
        <v>807177</v>
      </c>
      <c r="E62" s="237">
        <v>21177</v>
      </c>
    </row>
    <row r="63" spans="1:5" ht="32.1" customHeight="1">
      <c r="A63" s="236" t="s">
        <v>728</v>
      </c>
      <c r="B63" s="237">
        <v>0</v>
      </c>
      <c r="C63" s="237">
        <v>1044</v>
      </c>
      <c r="D63" s="237">
        <v>0</v>
      </c>
      <c r="E63" s="237">
        <v>35432</v>
      </c>
    </row>
    <row r="64" spans="1:5" ht="32.1" customHeight="1">
      <c r="A64" s="236" t="s">
        <v>819</v>
      </c>
      <c r="B64" s="237">
        <v>0</v>
      </c>
      <c r="C64" s="237">
        <v>1</v>
      </c>
      <c r="D64" s="237">
        <v>0</v>
      </c>
      <c r="E64" s="237">
        <v>92</v>
      </c>
    </row>
    <row r="65" spans="1:5" ht="32.1" customHeight="1">
      <c r="A65" s="236" t="s">
        <v>681</v>
      </c>
      <c r="B65" s="237">
        <v>421608</v>
      </c>
      <c r="C65" s="237">
        <v>1396</v>
      </c>
      <c r="D65" s="237">
        <v>376301</v>
      </c>
      <c r="E65" s="237">
        <v>24568</v>
      </c>
    </row>
    <row r="66" spans="1:5" ht="32.1" customHeight="1">
      <c r="A66" s="236" t="s">
        <v>682</v>
      </c>
      <c r="B66" s="237">
        <v>0</v>
      </c>
      <c r="C66" s="237">
        <v>619</v>
      </c>
      <c r="D66" s="237">
        <v>0</v>
      </c>
      <c r="E66" s="237">
        <v>18832</v>
      </c>
    </row>
    <row r="67" spans="1:5" ht="32.1" customHeight="1">
      <c r="A67" s="236" t="s">
        <v>772</v>
      </c>
      <c r="B67" s="237">
        <v>179520</v>
      </c>
      <c r="C67" s="237">
        <v>661</v>
      </c>
      <c r="D67" s="237">
        <v>71927</v>
      </c>
      <c r="E67" s="237">
        <v>2980</v>
      </c>
    </row>
    <row r="68" spans="1:5" ht="32.1" customHeight="1">
      <c r="A68" s="236" t="s">
        <v>729</v>
      </c>
      <c r="B68" s="237">
        <v>228313</v>
      </c>
      <c r="C68" s="237">
        <v>732</v>
      </c>
      <c r="D68" s="237">
        <v>189015</v>
      </c>
      <c r="E68" s="237">
        <v>14639</v>
      </c>
    </row>
    <row r="69" spans="1:5" ht="32.1" customHeight="1">
      <c r="A69" s="236" t="s">
        <v>755</v>
      </c>
      <c r="B69" s="237">
        <v>154432</v>
      </c>
      <c r="C69" s="237">
        <v>720</v>
      </c>
      <c r="D69" s="237">
        <v>132744</v>
      </c>
      <c r="E69" s="237">
        <v>8804</v>
      </c>
    </row>
    <row r="70" spans="1:5" ht="32.1" customHeight="1">
      <c r="A70" s="236" t="s">
        <v>684</v>
      </c>
      <c r="B70" s="237">
        <v>372636</v>
      </c>
      <c r="C70" s="237">
        <v>2886</v>
      </c>
      <c r="D70" s="237">
        <v>264627</v>
      </c>
      <c r="E70" s="237">
        <v>3754</v>
      </c>
    </row>
    <row r="71" spans="1:5" ht="32.1" customHeight="1">
      <c r="A71" s="236" t="s">
        <v>787</v>
      </c>
      <c r="B71" s="237">
        <v>19306</v>
      </c>
      <c r="C71" s="237">
        <v>102</v>
      </c>
      <c r="D71" s="237">
        <v>17561</v>
      </c>
      <c r="E71" s="237">
        <v>181</v>
      </c>
    </row>
    <row r="72" spans="1:5" ht="32.1" customHeight="1">
      <c r="A72" s="236" t="s">
        <v>685</v>
      </c>
      <c r="B72" s="237">
        <v>115424</v>
      </c>
      <c r="C72" s="237">
        <v>502</v>
      </c>
      <c r="D72" s="237">
        <v>98299</v>
      </c>
      <c r="E72" s="237">
        <v>5579</v>
      </c>
    </row>
    <row r="73" spans="1:5" ht="32.1" customHeight="1">
      <c r="A73" s="236" t="s">
        <v>756</v>
      </c>
      <c r="B73" s="237">
        <v>14442</v>
      </c>
      <c r="C73" s="237">
        <v>86</v>
      </c>
      <c r="D73" s="237">
        <v>11037</v>
      </c>
      <c r="E73" s="237">
        <v>135</v>
      </c>
    </row>
    <row r="74" spans="1:5" ht="32.1" customHeight="1">
      <c r="A74" s="236" t="s">
        <v>797</v>
      </c>
      <c r="B74" s="237">
        <v>0</v>
      </c>
      <c r="C74" s="237">
        <v>1</v>
      </c>
      <c r="D74" s="237">
        <v>0</v>
      </c>
      <c r="E74" s="237">
        <v>58</v>
      </c>
    </row>
    <row r="75" spans="1:5" ht="32.1" customHeight="1">
      <c r="A75" s="236" t="s">
        <v>687</v>
      </c>
      <c r="B75" s="237">
        <v>184866</v>
      </c>
      <c r="C75" s="237">
        <v>730</v>
      </c>
      <c r="D75" s="237">
        <v>159714</v>
      </c>
      <c r="E75" s="237">
        <v>10644</v>
      </c>
    </row>
    <row r="76" spans="1:5" ht="32.1" customHeight="1">
      <c r="A76" s="236" t="s">
        <v>688</v>
      </c>
      <c r="B76" s="237">
        <v>57408</v>
      </c>
      <c r="C76" s="237">
        <v>312</v>
      </c>
      <c r="D76" s="237">
        <v>50615</v>
      </c>
      <c r="E76" s="237">
        <v>815</v>
      </c>
    </row>
    <row r="77" spans="1:5" ht="32.1" customHeight="1">
      <c r="A77" s="236" t="s">
        <v>689</v>
      </c>
      <c r="B77" s="237">
        <v>0</v>
      </c>
      <c r="C77" s="237">
        <v>3366</v>
      </c>
      <c r="D77" s="237">
        <v>0</v>
      </c>
      <c r="E77" s="237">
        <v>41045</v>
      </c>
    </row>
    <row r="78" spans="1:5" ht="32.1" customHeight="1">
      <c r="A78" s="236" t="s">
        <v>731</v>
      </c>
      <c r="B78" s="237">
        <v>103935</v>
      </c>
      <c r="C78" s="237">
        <v>406</v>
      </c>
      <c r="D78" s="237">
        <v>73723</v>
      </c>
      <c r="E78" s="237">
        <v>4955</v>
      </c>
    </row>
    <row r="79" spans="1:5" ht="32.1" customHeight="1">
      <c r="A79" s="236" t="s">
        <v>692</v>
      </c>
      <c r="B79" s="237">
        <v>706734</v>
      </c>
      <c r="C79" s="237">
        <v>3815</v>
      </c>
      <c r="D79" s="237">
        <v>634888</v>
      </c>
      <c r="E79" s="237">
        <v>16213</v>
      </c>
    </row>
    <row r="80" spans="1:5" ht="32.1" customHeight="1">
      <c r="A80" s="236" t="s">
        <v>694</v>
      </c>
      <c r="B80" s="237">
        <v>521686</v>
      </c>
      <c r="C80" s="237">
        <v>2187</v>
      </c>
      <c r="D80" s="237">
        <v>447816</v>
      </c>
      <c r="E80" s="237">
        <v>7897</v>
      </c>
    </row>
    <row r="81" spans="1:5" ht="32.1" customHeight="1">
      <c r="A81" s="236" t="s">
        <v>820</v>
      </c>
      <c r="B81" s="237">
        <v>27905</v>
      </c>
      <c r="C81" s="237">
        <v>153</v>
      </c>
      <c r="D81" s="237">
        <v>21715</v>
      </c>
      <c r="E81" s="237">
        <v>221</v>
      </c>
    </row>
    <row r="82" spans="1:5" ht="32.1" customHeight="1">
      <c r="A82" s="236" t="s">
        <v>805</v>
      </c>
      <c r="B82" s="237">
        <v>56892</v>
      </c>
      <c r="C82" s="237">
        <v>311</v>
      </c>
      <c r="D82" s="237">
        <v>51612</v>
      </c>
      <c r="E82" s="237">
        <v>509</v>
      </c>
    </row>
    <row r="83" spans="1:5" ht="32.1" customHeight="1">
      <c r="A83" s="236" t="s">
        <v>696</v>
      </c>
      <c r="B83" s="237">
        <v>1342607</v>
      </c>
      <c r="C83" s="237">
        <v>7771</v>
      </c>
      <c r="D83" s="237">
        <v>1072102</v>
      </c>
      <c r="E83" s="237">
        <v>22587</v>
      </c>
    </row>
    <row r="84" spans="1:5" ht="32.1" customHeight="1">
      <c r="A84" s="236" t="s">
        <v>776</v>
      </c>
      <c r="B84" s="237">
        <v>138330</v>
      </c>
      <c r="C84" s="237">
        <v>876</v>
      </c>
      <c r="D84" s="237">
        <v>121534</v>
      </c>
      <c r="E84" s="237">
        <v>1983</v>
      </c>
    </row>
    <row r="85" spans="1:5" ht="32.1" customHeight="1">
      <c r="A85" s="236" t="s">
        <v>697</v>
      </c>
      <c r="B85" s="237">
        <v>2282281</v>
      </c>
      <c r="C85" s="237">
        <v>13648</v>
      </c>
      <c r="D85" s="237">
        <v>1833819</v>
      </c>
      <c r="E85" s="237">
        <v>39435</v>
      </c>
    </row>
    <row r="86" spans="1:5" ht="32.1" customHeight="1">
      <c r="A86" s="236" t="s">
        <v>698</v>
      </c>
      <c r="B86" s="237">
        <v>2727553</v>
      </c>
      <c r="C86" s="237">
        <v>14777</v>
      </c>
      <c r="D86" s="237">
        <v>2191448</v>
      </c>
      <c r="E86" s="237">
        <v>45554</v>
      </c>
    </row>
    <row r="87" spans="1:5" ht="32.1" customHeight="1">
      <c r="A87" s="236" t="s">
        <v>699</v>
      </c>
      <c r="B87" s="237">
        <v>180516</v>
      </c>
      <c r="C87" s="237">
        <v>1080</v>
      </c>
      <c r="D87" s="237">
        <v>129820</v>
      </c>
      <c r="E87" s="237">
        <v>3259</v>
      </c>
    </row>
    <row r="88" spans="1:5" ht="32.1" customHeight="1">
      <c r="A88" s="236" t="s">
        <v>700</v>
      </c>
      <c r="B88" s="237">
        <v>0</v>
      </c>
      <c r="C88" s="237">
        <v>186</v>
      </c>
      <c r="D88" s="237">
        <v>0</v>
      </c>
      <c r="E88" s="237">
        <v>1610</v>
      </c>
    </row>
    <row r="89" spans="1:5" ht="32.1" customHeight="1">
      <c r="A89" s="236" t="s">
        <v>701</v>
      </c>
      <c r="B89" s="237">
        <v>106698</v>
      </c>
      <c r="C89" s="237">
        <v>670</v>
      </c>
      <c r="D89" s="237">
        <v>74636</v>
      </c>
      <c r="E89" s="237">
        <v>1485</v>
      </c>
    </row>
    <row r="90" spans="1:5" ht="32.1" customHeight="1">
      <c r="A90" s="236" t="s">
        <v>702</v>
      </c>
      <c r="B90" s="237">
        <v>0</v>
      </c>
      <c r="C90" s="237">
        <v>574</v>
      </c>
      <c r="D90" s="237">
        <v>0</v>
      </c>
      <c r="E90" s="237">
        <v>38612</v>
      </c>
    </row>
    <row r="91" spans="1:5" ht="32.1" customHeight="1">
      <c r="A91" s="236" t="s">
        <v>703</v>
      </c>
      <c r="B91" s="237">
        <v>964008</v>
      </c>
      <c r="C91" s="237">
        <v>4120</v>
      </c>
      <c r="D91" s="237">
        <v>834334</v>
      </c>
      <c r="E91" s="237">
        <v>24358</v>
      </c>
    </row>
    <row r="92" spans="1:5" ht="32.1" customHeight="1">
      <c r="A92" s="236" t="s">
        <v>757</v>
      </c>
      <c r="B92" s="237">
        <v>144377</v>
      </c>
      <c r="C92" s="237">
        <v>826</v>
      </c>
      <c r="D92" s="237">
        <v>114502</v>
      </c>
      <c r="E92" s="237">
        <v>1493</v>
      </c>
    </row>
    <row r="93" spans="1:5" ht="32.1" customHeight="1">
      <c r="A93" s="236" t="s">
        <v>778</v>
      </c>
      <c r="B93" s="237">
        <v>97428</v>
      </c>
      <c r="C93" s="237">
        <v>353</v>
      </c>
      <c r="D93" s="237">
        <v>80800</v>
      </c>
      <c r="E93" s="237">
        <v>4449</v>
      </c>
    </row>
    <row r="94" spans="1:5" ht="32.1" customHeight="1">
      <c r="A94" s="236" t="s">
        <v>779</v>
      </c>
      <c r="B94" s="237">
        <v>833748</v>
      </c>
      <c r="C94" s="237">
        <v>4551</v>
      </c>
      <c r="D94" s="237">
        <v>685125</v>
      </c>
      <c r="E94" s="237">
        <v>9015</v>
      </c>
    </row>
    <row r="95" spans="1:5" ht="32.1" customHeight="1">
      <c r="A95" s="236" t="s">
        <v>827</v>
      </c>
      <c r="B95" s="237">
        <v>20540</v>
      </c>
      <c r="C95" s="237">
        <v>130</v>
      </c>
      <c r="D95" s="237">
        <v>12844</v>
      </c>
      <c r="E95" s="237">
        <v>237</v>
      </c>
    </row>
    <row r="96" spans="1:5" ht="32.1" customHeight="1">
      <c r="A96" s="236" t="s">
        <v>704</v>
      </c>
      <c r="B96" s="237">
        <v>0</v>
      </c>
      <c r="C96" s="237">
        <v>314</v>
      </c>
      <c r="D96" s="237">
        <v>0</v>
      </c>
      <c r="E96" s="237">
        <v>15215</v>
      </c>
    </row>
    <row r="97" spans="1:5" ht="32.1" customHeight="1">
      <c r="A97" s="236" t="s">
        <v>705</v>
      </c>
      <c r="B97" s="237">
        <v>316168</v>
      </c>
      <c r="C97" s="237">
        <v>1232</v>
      </c>
      <c r="D97" s="237">
        <v>243639</v>
      </c>
      <c r="E97" s="237">
        <v>57119</v>
      </c>
    </row>
    <row r="98" spans="1:5" ht="32.1" customHeight="1">
      <c r="A98" s="236" t="s">
        <v>706</v>
      </c>
      <c r="B98" s="237">
        <v>0</v>
      </c>
      <c r="C98" s="237">
        <v>355</v>
      </c>
      <c r="D98" s="237">
        <v>0</v>
      </c>
      <c r="E98" s="237">
        <v>21788</v>
      </c>
    </row>
    <row r="99" spans="1:5" ht="32.1" customHeight="1">
      <c r="A99" s="236" t="s">
        <v>707</v>
      </c>
      <c r="B99" s="237">
        <v>1244673</v>
      </c>
      <c r="C99" s="237">
        <v>4413</v>
      </c>
      <c r="D99" s="237">
        <v>1051961</v>
      </c>
      <c r="E99" s="237">
        <v>51387</v>
      </c>
    </row>
    <row r="100" spans="1:5" ht="32.1" customHeight="1">
      <c r="A100" s="236" t="s">
        <v>708</v>
      </c>
      <c r="B100" s="237">
        <v>188585</v>
      </c>
      <c r="C100" s="237">
        <v>1056</v>
      </c>
      <c r="D100" s="237">
        <v>151792</v>
      </c>
      <c r="E100" s="237">
        <v>2363</v>
      </c>
    </row>
    <row r="101" spans="1:5" ht="32.1" customHeight="1">
      <c r="A101" s="236" t="s">
        <v>807</v>
      </c>
      <c r="B101" s="237">
        <v>225180</v>
      </c>
      <c r="C101" s="237">
        <v>1251</v>
      </c>
      <c r="D101" s="237">
        <v>192062</v>
      </c>
      <c r="E101" s="237">
        <v>1958</v>
      </c>
    </row>
    <row r="102" spans="1:5" ht="32.1" customHeight="1">
      <c r="A102" s="236" t="s">
        <v>788</v>
      </c>
      <c r="B102" s="237">
        <v>662012</v>
      </c>
      <c r="C102" s="237">
        <v>1756</v>
      </c>
      <c r="D102" s="237">
        <v>565050</v>
      </c>
      <c r="E102" s="237">
        <v>14442</v>
      </c>
    </row>
    <row r="103" spans="1:5" ht="32.1" customHeight="1">
      <c r="A103" s="236" t="s">
        <v>709</v>
      </c>
      <c r="B103" s="237">
        <v>1399652</v>
      </c>
      <c r="C103" s="237">
        <v>3970</v>
      </c>
      <c r="D103" s="237">
        <v>1027133</v>
      </c>
      <c r="E103" s="237">
        <v>52148</v>
      </c>
    </row>
    <row r="104" spans="1:5" ht="32.1" customHeight="1">
      <c r="A104" s="236" t="s">
        <v>710</v>
      </c>
      <c r="B104" s="237">
        <v>375652</v>
      </c>
      <c r="C104" s="237">
        <v>1354</v>
      </c>
      <c r="D104" s="237">
        <v>340691</v>
      </c>
      <c r="E104" s="237">
        <v>29327</v>
      </c>
    </row>
    <row r="105" spans="1:5" ht="32.1" customHeight="1">
      <c r="A105" s="236" t="s">
        <v>821</v>
      </c>
      <c r="B105" s="237">
        <v>90456</v>
      </c>
      <c r="C105" s="237">
        <v>574</v>
      </c>
      <c r="D105" s="237">
        <v>63394</v>
      </c>
      <c r="E105" s="237">
        <v>715</v>
      </c>
    </row>
    <row r="106" spans="1:5" ht="32.1" customHeight="1">
      <c r="A106" s="236" t="s">
        <v>808</v>
      </c>
      <c r="B106" s="237">
        <v>331200</v>
      </c>
      <c r="C106" s="237">
        <v>1859</v>
      </c>
      <c r="D106" s="237">
        <v>267337</v>
      </c>
      <c r="E106" s="237">
        <v>2680</v>
      </c>
    </row>
    <row r="107" spans="1:5" ht="32.1" customHeight="1">
      <c r="A107" s="236" t="s">
        <v>712</v>
      </c>
      <c r="B107" s="237">
        <v>0</v>
      </c>
      <c r="C107" s="237">
        <v>2639</v>
      </c>
      <c r="D107" s="237">
        <v>0</v>
      </c>
      <c r="E107" s="237">
        <v>56315</v>
      </c>
    </row>
    <row r="108" spans="1:5" ht="32.1" customHeight="1">
      <c r="A108" s="236" t="s">
        <v>713</v>
      </c>
      <c r="B108" s="237">
        <v>0</v>
      </c>
      <c r="C108" s="237">
        <v>4222</v>
      </c>
      <c r="D108" s="237">
        <v>0</v>
      </c>
      <c r="E108" s="237">
        <v>132915</v>
      </c>
    </row>
    <row r="109" spans="1:5" ht="32.1" customHeight="1">
      <c r="A109" s="236" t="s">
        <v>809</v>
      </c>
      <c r="B109" s="237">
        <v>134904</v>
      </c>
      <c r="C109" s="237">
        <v>516</v>
      </c>
      <c r="D109" s="237">
        <v>116938</v>
      </c>
      <c r="E109" s="237">
        <v>6539</v>
      </c>
    </row>
    <row r="110" spans="1:5" ht="32.1" customHeight="1">
      <c r="A110" s="236" t="s">
        <v>715</v>
      </c>
      <c r="B110" s="237">
        <v>304594</v>
      </c>
      <c r="C110" s="237">
        <v>862</v>
      </c>
      <c r="D110" s="237">
        <v>261785</v>
      </c>
      <c r="E110" s="237">
        <v>17140</v>
      </c>
    </row>
    <row r="111" spans="1:5" ht="32.1" customHeight="1">
      <c r="A111" s="236" t="s">
        <v>759</v>
      </c>
      <c r="B111" s="237">
        <v>895860</v>
      </c>
      <c r="C111" s="237">
        <v>4978</v>
      </c>
      <c r="D111" s="237">
        <v>769563</v>
      </c>
      <c r="E111" s="237">
        <v>4293</v>
      </c>
    </row>
    <row r="112" spans="1:5" ht="32.1" customHeight="1">
      <c r="A112" s="236" t="s">
        <v>716</v>
      </c>
      <c r="B112" s="237">
        <v>246456</v>
      </c>
      <c r="C112" s="237">
        <v>724</v>
      </c>
      <c r="D112" s="237">
        <v>217082</v>
      </c>
      <c r="E112" s="237">
        <v>13822</v>
      </c>
    </row>
    <row r="113" spans="1:5" ht="32.1" customHeight="1">
      <c r="A113" s="236" t="s">
        <v>822</v>
      </c>
      <c r="B113" s="237">
        <v>480942</v>
      </c>
      <c r="C113" s="237">
        <v>2670</v>
      </c>
      <c r="D113" s="237">
        <v>376995</v>
      </c>
      <c r="E113" s="237">
        <v>4553</v>
      </c>
    </row>
    <row r="114" spans="1:5" ht="32.1" customHeight="1">
      <c r="A114" s="236" t="s">
        <v>718</v>
      </c>
      <c r="B114" s="237">
        <v>1082865</v>
      </c>
      <c r="C114" s="237">
        <v>4377</v>
      </c>
      <c r="D114" s="237">
        <v>872115</v>
      </c>
      <c r="E114" s="237">
        <v>19374</v>
      </c>
    </row>
    <row r="115" spans="1:5" ht="32.1" customHeight="1">
      <c r="A115" s="236" t="s">
        <v>745</v>
      </c>
      <c r="B115" s="237">
        <v>153052</v>
      </c>
      <c r="C115" s="237">
        <v>522</v>
      </c>
      <c r="D115" s="237">
        <v>127394</v>
      </c>
      <c r="E115" s="237">
        <v>5614</v>
      </c>
    </row>
    <row r="116" spans="1:5" ht="32.1" customHeight="1">
      <c r="A116" s="236" t="s">
        <v>720</v>
      </c>
      <c r="B116" s="237">
        <v>638584</v>
      </c>
      <c r="C116" s="237">
        <v>2992</v>
      </c>
      <c r="D116" s="237">
        <v>583167</v>
      </c>
      <c r="E116" s="237">
        <v>7578</v>
      </c>
    </row>
    <row r="117" spans="1:5" ht="32.1" customHeight="1">
      <c r="A117" s="236" t="s">
        <v>789</v>
      </c>
      <c r="B117" s="237">
        <v>298296</v>
      </c>
      <c r="C117" s="237">
        <v>1478</v>
      </c>
      <c r="D117" s="237">
        <v>248465</v>
      </c>
      <c r="E117" s="237">
        <v>6847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EA507-ABD3-41A9-A230-80D7BBF61613}">
  <dimension ref="A1:E124"/>
  <sheetViews>
    <sheetView workbookViewId="0">
      <selection sqref="A1:E1"/>
    </sheetView>
  </sheetViews>
  <sheetFormatPr defaultColWidth="9" defaultRowHeight="16.5"/>
  <cols>
    <col min="1" max="1" width="48.5" style="14" customWidth="1"/>
    <col min="2" max="3" width="28.375" style="14" customWidth="1"/>
    <col min="4" max="5" width="28.5" style="14" customWidth="1"/>
    <col min="6" max="16384" width="9" style="14"/>
  </cols>
  <sheetData>
    <row r="1" spans="1:5" ht="33.950000000000003" customHeight="1">
      <c r="A1" s="435" t="s">
        <v>828</v>
      </c>
      <c r="B1" s="436"/>
      <c r="C1" s="436"/>
      <c r="D1" s="436"/>
      <c r="E1" s="436"/>
    </row>
    <row r="2" spans="1:5" ht="36.950000000000003" customHeight="1">
      <c r="A2" s="235" t="s">
        <v>624</v>
      </c>
      <c r="B2" s="235" t="s">
        <v>625</v>
      </c>
      <c r="C2" s="235" t="s">
        <v>626</v>
      </c>
      <c r="D2" s="235" t="s">
        <v>340</v>
      </c>
      <c r="E2" s="235" t="s">
        <v>342</v>
      </c>
    </row>
    <row r="3" spans="1:5" ht="32.1" customHeight="1">
      <c r="A3" s="236" t="s">
        <v>627</v>
      </c>
      <c r="B3" s="237">
        <v>148604672</v>
      </c>
      <c r="C3" s="237">
        <v>723592</v>
      </c>
      <c r="D3" s="237">
        <v>124286883</v>
      </c>
      <c r="E3" s="237">
        <v>4274717</v>
      </c>
    </row>
    <row r="4" spans="1:5" ht="32.1" customHeight="1">
      <c r="A4" s="236" t="s">
        <v>628</v>
      </c>
      <c r="B4" s="237">
        <v>111528123</v>
      </c>
      <c r="C4" s="237">
        <v>542111</v>
      </c>
      <c r="D4" s="237">
        <v>94245011</v>
      </c>
      <c r="E4" s="237">
        <v>2885294</v>
      </c>
    </row>
    <row r="5" spans="1:5" ht="32.1" customHeight="1">
      <c r="A5" s="236" t="s">
        <v>629</v>
      </c>
      <c r="B5" s="237">
        <v>34122844</v>
      </c>
      <c r="C5" s="237">
        <v>160674</v>
      </c>
      <c r="D5" s="237">
        <v>27834934</v>
      </c>
      <c r="E5" s="237">
        <v>1598043</v>
      </c>
    </row>
    <row r="6" spans="1:5" ht="32.1" customHeight="1">
      <c r="A6" s="236" t="s">
        <v>630</v>
      </c>
      <c r="B6" s="237">
        <v>23873324</v>
      </c>
      <c r="C6" s="237">
        <v>105412</v>
      </c>
      <c r="D6" s="237">
        <v>20306912</v>
      </c>
      <c r="E6" s="237">
        <v>918180</v>
      </c>
    </row>
    <row r="7" spans="1:5" ht="32.1" customHeight="1">
      <c r="A7" s="236" t="s">
        <v>631</v>
      </c>
      <c r="B7" s="237">
        <v>15160068</v>
      </c>
      <c r="C7" s="237">
        <v>80243</v>
      </c>
      <c r="D7" s="237">
        <v>13352537</v>
      </c>
      <c r="E7" s="237">
        <v>100820</v>
      </c>
    </row>
    <row r="8" spans="1:5" ht="32.1" customHeight="1">
      <c r="A8" s="236" t="s">
        <v>632</v>
      </c>
      <c r="B8" s="237">
        <v>10002717</v>
      </c>
      <c r="C8" s="237">
        <v>46470</v>
      </c>
      <c r="D8" s="237">
        <v>8754190</v>
      </c>
      <c r="E8" s="237">
        <v>81225</v>
      </c>
    </row>
    <row r="9" spans="1:5" ht="32.1" customHeight="1">
      <c r="A9" s="236" t="s">
        <v>633</v>
      </c>
      <c r="B9" s="237">
        <v>9576749</v>
      </c>
      <c r="C9" s="237">
        <v>49622</v>
      </c>
      <c r="D9" s="237">
        <v>7863061</v>
      </c>
      <c r="E9" s="237">
        <v>51342</v>
      </c>
    </row>
    <row r="10" spans="1:5" ht="32.1" customHeight="1">
      <c r="A10" s="236" t="s">
        <v>634</v>
      </c>
      <c r="B10" s="237">
        <v>7220370</v>
      </c>
      <c r="C10" s="237">
        <v>37642</v>
      </c>
      <c r="D10" s="237">
        <v>6193866</v>
      </c>
      <c r="E10" s="237">
        <v>42541</v>
      </c>
    </row>
    <row r="11" spans="1:5" ht="32.1" customHeight="1">
      <c r="A11" s="236" t="s">
        <v>722</v>
      </c>
      <c r="B11" s="237">
        <v>9341853</v>
      </c>
      <c r="C11" s="237">
        <v>49482</v>
      </c>
      <c r="D11" s="237">
        <v>7999611</v>
      </c>
      <c r="E11" s="237">
        <v>58755</v>
      </c>
    </row>
    <row r="12" spans="1:5" ht="32.1" customHeight="1">
      <c r="A12" s="236" t="s">
        <v>762</v>
      </c>
      <c r="B12" s="237">
        <v>0</v>
      </c>
      <c r="C12" s="237">
        <v>1268</v>
      </c>
      <c r="D12" s="237">
        <v>0</v>
      </c>
      <c r="E12" s="237">
        <v>17761</v>
      </c>
    </row>
    <row r="13" spans="1:5" ht="32.1" customHeight="1">
      <c r="A13" s="236" t="s">
        <v>800</v>
      </c>
      <c r="B13" s="237">
        <v>2195602</v>
      </c>
      <c r="C13" s="237">
        <v>11112</v>
      </c>
      <c r="D13" s="237">
        <v>1916636</v>
      </c>
      <c r="E13" s="237">
        <v>16502</v>
      </c>
    </row>
    <row r="14" spans="1:5" ht="32.1" customHeight="1">
      <c r="A14" s="236" t="s">
        <v>829</v>
      </c>
      <c r="B14" s="237">
        <v>34596</v>
      </c>
      <c r="C14" s="237">
        <v>186</v>
      </c>
      <c r="D14" s="237">
        <v>23264</v>
      </c>
      <c r="E14" s="237">
        <v>126</v>
      </c>
    </row>
    <row r="15" spans="1:5" ht="32.1" customHeight="1">
      <c r="A15" s="236" t="s">
        <v>635</v>
      </c>
      <c r="B15" s="237">
        <v>37076549</v>
      </c>
      <c r="C15" s="237">
        <v>181481</v>
      </c>
      <c r="D15" s="237">
        <v>30041872</v>
      </c>
      <c r="E15" s="237">
        <v>1389423</v>
      </c>
    </row>
    <row r="16" spans="1:5" ht="32.1" customHeight="1">
      <c r="A16" s="236" t="s">
        <v>830</v>
      </c>
      <c r="B16" s="237">
        <v>0</v>
      </c>
      <c r="C16" s="237">
        <v>158</v>
      </c>
      <c r="D16" s="237">
        <v>0</v>
      </c>
      <c r="E16" s="237">
        <v>595</v>
      </c>
    </row>
    <row r="17" spans="1:5" ht="32.1" customHeight="1">
      <c r="A17" s="236" t="s">
        <v>638</v>
      </c>
      <c r="B17" s="237">
        <v>408078</v>
      </c>
      <c r="C17" s="237">
        <v>1390</v>
      </c>
      <c r="D17" s="237">
        <v>296316</v>
      </c>
      <c r="E17" s="237">
        <v>12425</v>
      </c>
    </row>
    <row r="18" spans="1:5" ht="32.1" customHeight="1">
      <c r="A18" s="236" t="s">
        <v>641</v>
      </c>
      <c r="B18" s="237">
        <v>224868</v>
      </c>
      <c r="C18" s="237">
        <v>726</v>
      </c>
      <c r="D18" s="237">
        <v>203903</v>
      </c>
      <c r="E18" s="237">
        <v>20001</v>
      </c>
    </row>
    <row r="19" spans="1:5" ht="32.1" customHeight="1">
      <c r="A19" s="236" t="s">
        <v>831</v>
      </c>
      <c r="B19" s="237">
        <v>11368</v>
      </c>
      <c r="C19" s="237">
        <v>38</v>
      </c>
      <c r="D19" s="237">
        <v>9460</v>
      </c>
      <c r="E19" s="237">
        <v>505</v>
      </c>
    </row>
    <row r="20" spans="1:5" ht="32.1" customHeight="1">
      <c r="A20" s="236" t="s">
        <v>643</v>
      </c>
      <c r="B20" s="237">
        <v>761164</v>
      </c>
      <c r="C20" s="237">
        <v>2686</v>
      </c>
      <c r="D20" s="237">
        <v>680606</v>
      </c>
      <c r="E20" s="237">
        <v>29236</v>
      </c>
    </row>
    <row r="21" spans="1:5" ht="32.1" customHeight="1">
      <c r="A21" s="236" t="s">
        <v>765</v>
      </c>
      <c r="B21" s="237">
        <v>96166</v>
      </c>
      <c r="C21" s="237">
        <v>670</v>
      </c>
      <c r="D21" s="237">
        <v>61682</v>
      </c>
      <c r="E21" s="237">
        <v>1140</v>
      </c>
    </row>
    <row r="22" spans="1:5" ht="32.1" customHeight="1">
      <c r="A22" s="236" t="s">
        <v>832</v>
      </c>
      <c r="B22" s="237">
        <v>0</v>
      </c>
      <c r="C22" s="237">
        <v>10</v>
      </c>
      <c r="D22" s="237">
        <v>0</v>
      </c>
      <c r="E22" s="237">
        <v>453</v>
      </c>
    </row>
    <row r="23" spans="1:5" ht="32.1" customHeight="1">
      <c r="A23" s="236" t="s">
        <v>645</v>
      </c>
      <c r="B23" s="237">
        <v>340424</v>
      </c>
      <c r="C23" s="237">
        <v>972</v>
      </c>
      <c r="D23" s="237">
        <v>268405</v>
      </c>
      <c r="E23" s="237">
        <v>10551</v>
      </c>
    </row>
    <row r="24" spans="1:5" ht="32.1" customHeight="1">
      <c r="A24" s="236" t="s">
        <v>646</v>
      </c>
      <c r="B24" s="237">
        <v>449034</v>
      </c>
      <c r="C24" s="237">
        <v>1316</v>
      </c>
      <c r="D24" s="237">
        <v>400728</v>
      </c>
      <c r="E24" s="237">
        <v>19062</v>
      </c>
    </row>
    <row r="25" spans="1:5" ht="32.1" customHeight="1">
      <c r="A25" s="236" t="s">
        <v>647</v>
      </c>
      <c r="B25" s="237">
        <v>0</v>
      </c>
      <c r="C25" s="237">
        <v>836</v>
      </c>
      <c r="D25" s="237">
        <v>0</v>
      </c>
      <c r="E25" s="237">
        <v>17132</v>
      </c>
    </row>
    <row r="26" spans="1:5" ht="32.1" customHeight="1">
      <c r="A26" s="236" t="s">
        <v>824</v>
      </c>
      <c r="B26" s="237">
        <v>35670</v>
      </c>
      <c r="C26" s="237">
        <v>206</v>
      </c>
      <c r="D26" s="237">
        <v>25712</v>
      </c>
      <c r="E26" s="237">
        <v>266</v>
      </c>
    </row>
    <row r="27" spans="1:5" ht="32.1" customHeight="1">
      <c r="A27" s="236" t="s">
        <v>649</v>
      </c>
      <c r="B27" s="237">
        <v>388400</v>
      </c>
      <c r="C27" s="237">
        <v>1228</v>
      </c>
      <c r="D27" s="237">
        <v>288073</v>
      </c>
      <c r="E27" s="237">
        <v>16425</v>
      </c>
    </row>
    <row r="28" spans="1:5" ht="32.1" customHeight="1">
      <c r="A28" s="236" t="s">
        <v>748</v>
      </c>
      <c r="B28" s="237">
        <v>742</v>
      </c>
      <c r="C28" s="237">
        <v>7</v>
      </c>
      <c r="D28" s="237">
        <v>635</v>
      </c>
      <c r="E28" s="237">
        <v>7</v>
      </c>
    </row>
    <row r="29" spans="1:5" ht="32.1" customHeight="1">
      <c r="A29" s="236" t="s">
        <v>650</v>
      </c>
      <c r="B29" s="237">
        <v>269068</v>
      </c>
      <c r="C29" s="237">
        <v>1182</v>
      </c>
      <c r="D29" s="237">
        <v>214067</v>
      </c>
      <c r="E29" s="237">
        <v>5566</v>
      </c>
    </row>
    <row r="30" spans="1:5" ht="32.1" customHeight="1">
      <c r="A30" s="236" t="s">
        <v>651</v>
      </c>
      <c r="B30" s="237">
        <v>0</v>
      </c>
      <c r="C30" s="237">
        <v>332</v>
      </c>
      <c r="D30" s="237">
        <v>0</v>
      </c>
      <c r="E30" s="237">
        <v>12895</v>
      </c>
    </row>
    <row r="31" spans="1:5" ht="32.1" customHeight="1">
      <c r="A31" s="236" t="s">
        <v>782</v>
      </c>
      <c r="B31" s="237">
        <v>4512</v>
      </c>
      <c r="C31" s="237">
        <v>32</v>
      </c>
      <c r="D31" s="237">
        <v>1273</v>
      </c>
      <c r="E31" s="237">
        <v>20</v>
      </c>
    </row>
    <row r="32" spans="1:5" ht="32.1" customHeight="1">
      <c r="A32" s="236" t="s">
        <v>833</v>
      </c>
      <c r="B32" s="237">
        <v>47168</v>
      </c>
      <c r="C32" s="237">
        <v>240</v>
      </c>
      <c r="D32" s="237">
        <v>28307</v>
      </c>
      <c r="E32" s="237">
        <v>289</v>
      </c>
    </row>
    <row r="33" spans="1:5" ht="32.1" customHeight="1">
      <c r="A33" s="236" t="s">
        <v>652</v>
      </c>
      <c r="B33" s="237">
        <v>1567860</v>
      </c>
      <c r="C33" s="237">
        <v>6211</v>
      </c>
      <c r="D33" s="237">
        <v>1310334</v>
      </c>
      <c r="E33" s="237">
        <v>50573</v>
      </c>
    </row>
    <row r="34" spans="1:5" ht="32.1" customHeight="1">
      <c r="A34" s="236" t="s">
        <v>653</v>
      </c>
      <c r="B34" s="237">
        <v>0</v>
      </c>
      <c r="C34" s="237">
        <v>9</v>
      </c>
      <c r="D34" s="237">
        <v>0</v>
      </c>
      <c r="E34" s="237">
        <v>327</v>
      </c>
    </row>
    <row r="35" spans="1:5" ht="32.1" customHeight="1">
      <c r="A35" s="236" t="s">
        <v>768</v>
      </c>
      <c r="B35" s="237">
        <v>63672</v>
      </c>
      <c r="C35" s="237">
        <v>344</v>
      </c>
      <c r="D35" s="237">
        <v>60227</v>
      </c>
      <c r="E35" s="237">
        <v>599</v>
      </c>
    </row>
    <row r="36" spans="1:5" ht="32.1" customHeight="1">
      <c r="A36" s="236" t="s">
        <v>750</v>
      </c>
      <c r="B36" s="237">
        <v>63764</v>
      </c>
      <c r="C36" s="237">
        <v>406</v>
      </c>
      <c r="D36" s="237">
        <v>43975</v>
      </c>
      <c r="E36" s="237">
        <v>962</v>
      </c>
    </row>
    <row r="37" spans="1:5" ht="32.1" customHeight="1">
      <c r="A37" s="236" t="s">
        <v>769</v>
      </c>
      <c r="B37" s="237">
        <v>2282472</v>
      </c>
      <c r="C37" s="237">
        <v>10418</v>
      </c>
      <c r="D37" s="237">
        <v>1797706</v>
      </c>
      <c r="E37" s="237">
        <v>21617</v>
      </c>
    </row>
    <row r="38" spans="1:5" ht="32.1" customHeight="1">
      <c r="A38" s="236" t="s">
        <v>657</v>
      </c>
      <c r="B38" s="237">
        <v>0</v>
      </c>
      <c r="C38" s="237">
        <v>2</v>
      </c>
      <c r="D38" s="237">
        <v>0</v>
      </c>
      <c r="E38" s="237">
        <v>73</v>
      </c>
    </row>
    <row r="39" spans="1:5" ht="32.1" customHeight="1">
      <c r="A39" s="236" t="s">
        <v>724</v>
      </c>
      <c r="B39" s="237">
        <v>81020</v>
      </c>
      <c r="C39" s="237">
        <v>421</v>
      </c>
      <c r="D39" s="237">
        <v>58352</v>
      </c>
      <c r="E39" s="237">
        <v>878</v>
      </c>
    </row>
    <row r="40" spans="1:5" ht="32.1" customHeight="1">
      <c r="A40" s="236" t="s">
        <v>658</v>
      </c>
      <c r="B40" s="237">
        <v>1185202</v>
      </c>
      <c r="C40" s="237">
        <v>6932</v>
      </c>
      <c r="D40" s="237">
        <v>939324</v>
      </c>
      <c r="E40" s="237">
        <v>16914</v>
      </c>
    </row>
    <row r="41" spans="1:5" ht="32.1" customHeight="1">
      <c r="A41" s="236" t="s">
        <v>659</v>
      </c>
      <c r="B41" s="237">
        <v>435024</v>
      </c>
      <c r="C41" s="237">
        <v>2371</v>
      </c>
      <c r="D41" s="237">
        <v>357416</v>
      </c>
      <c r="E41" s="237">
        <v>5960</v>
      </c>
    </row>
    <row r="42" spans="1:5" ht="32.1" customHeight="1">
      <c r="A42" s="236" t="s">
        <v>660</v>
      </c>
      <c r="B42" s="237">
        <v>579424</v>
      </c>
      <c r="C42" s="237">
        <v>2177</v>
      </c>
      <c r="D42" s="237">
        <v>422453</v>
      </c>
      <c r="E42" s="237">
        <v>10461</v>
      </c>
    </row>
    <row r="43" spans="1:5" ht="32.1" customHeight="1">
      <c r="A43" s="236" t="s">
        <v>739</v>
      </c>
      <c r="B43" s="237">
        <v>73156</v>
      </c>
      <c r="C43" s="237">
        <v>367</v>
      </c>
      <c r="D43" s="237">
        <v>62884</v>
      </c>
      <c r="E43" s="237">
        <v>629</v>
      </c>
    </row>
    <row r="44" spans="1:5" ht="32.1" customHeight="1">
      <c r="A44" s="236" t="s">
        <v>816</v>
      </c>
      <c r="B44" s="237">
        <v>114884</v>
      </c>
      <c r="C44" s="237">
        <v>312</v>
      </c>
      <c r="D44" s="237">
        <v>102774</v>
      </c>
      <c r="E44" s="237">
        <v>2706</v>
      </c>
    </row>
    <row r="45" spans="1:5" ht="32.1" customHeight="1">
      <c r="A45" s="236" t="s">
        <v>663</v>
      </c>
      <c r="B45" s="237">
        <v>262310</v>
      </c>
      <c r="C45" s="237">
        <v>1556</v>
      </c>
      <c r="D45" s="237">
        <v>221048</v>
      </c>
      <c r="E45" s="237">
        <v>2524</v>
      </c>
    </row>
    <row r="46" spans="1:5" ht="32.1" customHeight="1">
      <c r="A46" s="236" t="s">
        <v>783</v>
      </c>
      <c r="B46" s="237">
        <v>33382</v>
      </c>
      <c r="C46" s="237">
        <v>207</v>
      </c>
      <c r="D46" s="237">
        <v>29076</v>
      </c>
      <c r="E46" s="237">
        <v>399</v>
      </c>
    </row>
    <row r="47" spans="1:5" ht="32.1" customHeight="1">
      <c r="A47" s="236" t="s">
        <v>784</v>
      </c>
      <c r="B47" s="237">
        <v>0</v>
      </c>
      <c r="C47" s="237">
        <v>304</v>
      </c>
      <c r="D47" s="237">
        <v>0</v>
      </c>
      <c r="E47" s="237">
        <v>17290</v>
      </c>
    </row>
    <row r="48" spans="1:5" ht="32.1" customHeight="1">
      <c r="A48" s="236" t="s">
        <v>665</v>
      </c>
      <c r="B48" s="237">
        <v>917468</v>
      </c>
      <c r="C48" s="237">
        <v>2994</v>
      </c>
      <c r="D48" s="237">
        <v>776072</v>
      </c>
      <c r="E48" s="237">
        <v>43269</v>
      </c>
    </row>
    <row r="49" spans="1:5" ht="32.1" customHeight="1">
      <c r="A49" s="236" t="s">
        <v>771</v>
      </c>
      <c r="B49" s="237">
        <v>208536</v>
      </c>
      <c r="C49" s="237">
        <v>732</v>
      </c>
      <c r="D49" s="237">
        <v>189433</v>
      </c>
      <c r="E49" s="237">
        <v>9189</v>
      </c>
    </row>
    <row r="50" spans="1:5" ht="32.1" customHeight="1">
      <c r="A50" s="236" t="s">
        <v>804</v>
      </c>
      <c r="B50" s="237">
        <v>0</v>
      </c>
      <c r="C50" s="237">
        <v>4</v>
      </c>
      <c r="D50" s="237">
        <v>0</v>
      </c>
      <c r="E50" s="237">
        <v>4</v>
      </c>
    </row>
    <row r="51" spans="1:5" ht="32.1" customHeight="1">
      <c r="A51" s="236" t="s">
        <v>817</v>
      </c>
      <c r="B51" s="237">
        <v>104309</v>
      </c>
      <c r="C51" s="237">
        <v>430</v>
      </c>
      <c r="D51" s="237">
        <v>85439</v>
      </c>
      <c r="E51" s="237">
        <v>4271</v>
      </c>
    </row>
    <row r="52" spans="1:5" ht="32.1" customHeight="1">
      <c r="A52" s="236" t="s">
        <v>818</v>
      </c>
      <c r="B52" s="237">
        <v>0</v>
      </c>
      <c r="C52" s="237">
        <v>1</v>
      </c>
      <c r="D52" s="237">
        <v>0</v>
      </c>
      <c r="E52" s="237">
        <v>8</v>
      </c>
    </row>
    <row r="53" spans="1:5" ht="32.1" customHeight="1">
      <c r="A53" s="236" t="s">
        <v>668</v>
      </c>
      <c r="B53" s="237">
        <v>0</v>
      </c>
      <c r="C53" s="237">
        <v>1348</v>
      </c>
      <c r="D53" s="237">
        <v>0</v>
      </c>
      <c r="E53" s="237">
        <v>71912</v>
      </c>
    </row>
    <row r="54" spans="1:5" ht="32.1" customHeight="1">
      <c r="A54" s="236" t="s">
        <v>669</v>
      </c>
      <c r="B54" s="237">
        <v>0</v>
      </c>
      <c r="C54" s="237">
        <v>3</v>
      </c>
      <c r="D54" s="237">
        <v>0</v>
      </c>
      <c r="E54" s="237">
        <v>188</v>
      </c>
    </row>
    <row r="55" spans="1:5" ht="32.1" customHeight="1">
      <c r="A55" s="236" t="s">
        <v>786</v>
      </c>
      <c r="B55" s="237">
        <v>102986</v>
      </c>
      <c r="C55" s="237">
        <v>412</v>
      </c>
      <c r="D55" s="237">
        <v>86166</v>
      </c>
      <c r="E55" s="237">
        <v>4135</v>
      </c>
    </row>
    <row r="56" spans="1:5" ht="32.1" customHeight="1">
      <c r="A56" s="236" t="s">
        <v>834</v>
      </c>
      <c r="B56" s="237">
        <v>6518</v>
      </c>
      <c r="C56" s="237">
        <v>33</v>
      </c>
      <c r="D56" s="237">
        <v>3341</v>
      </c>
      <c r="E56" s="237">
        <v>30</v>
      </c>
    </row>
    <row r="57" spans="1:5" ht="32.1" customHeight="1">
      <c r="A57" s="236" t="s">
        <v>671</v>
      </c>
      <c r="B57" s="237">
        <v>37174</v>
      </c>
      <c r="C57" s="237">
        <v>284</v>
      </c>
      <c r="D57" s="237">
        <v>22573</v>
      </c>
      <c r="E57" s="237">
        <v>240</v>
      </c>
    </row>
    <row r="58" spans="1:5" ht="32.1" customHeight="1">
      <c r="A58" s="236" t="s">
        <v>673</v>
      </c>
      <c r="B58" s="237">
        <v>381446</v>
      </c>
      <c r="C58" s="237">
        <v>734</v>
      </c>
      <c r="D58" s="237">
        <v>322479</v>
      </c>
      <c r="E58" s="237">
        <v>14650</v>
      </c>
    </row>
    <row r="59" spans="1:5" ht="32.1" customHeight="1">
      <c r="A59" s="236" t="s">
        <v>674</v>
      </c>
      <c r="B59" s="237">
        <v>735115</v>
      </c>
      <c r="C59" s="237">
        <v>3130</v>
      </c>
      <c r="D59" s="237">
        <v>649555</v>
      </c>
      <c r="E59" s="237">
        <v>17974</v>
      </c>
    </row>
    <row r="60" spans="1:5" ht="32.1" customHeight="1">
      <c r="A60" s="236" t="s">
        <v>726</v>
      </c>
      <c r="B60" s="237">
        <v>0</v>
      </c>
      <c r="C60" s="237">
        <v>207</v>
      </c>
      <c r="D60" s="237">
        <v>0</v>
      </c>
      <c r="E60" s="237">
        <v>7451</v>
      </c>
    </row>
    <row r="61" spans="1:5" ht="32.1" customHeight="1">
      <c r="A61" s="236" t="s">
        <v>676</v>
      </c>
      <c r="B61" s="237">
        <v>241318</v>
      </c>
      <c r="C61" s="237">
        <v>1436</v>
      </c>
      <c r="D61" s="237">
        <v>201466</v>
      </c>
      <c r="E61" s="237">
        <v>3643</v>
      </c>
    </row>
    <row r="62" spans="1:5" ht="32.1" customHeight="1">
      <c r="A62" s="236" t="s">
        <v>677</v>
      </c>
      <c r="B62" s="237">
        <v>0</v>
      </c>
      <c r="C62" s="237">
        <v>756</v>
      </c>
      <c r="D62" s="237">
        <v>0</v>
      </c>
      <c r="E62" s="237">
        <v>28051</v>
      </c>
    </row>
    <row r="63" spans="1:5" ht="32.1" customHeight="1">
      <c r="A63" s="236" t="s">
        <v>679</v>
      </c>
      <c r="B63" s="237">
        <v>153792</v>
      </c>
      <c r="C63" s="237">
        <v>754</v>
      </c>
      <c r="D63" s="237">
        <v>114009</v>
      </c>
      <c r="E63" s="237">
        <v>3060</v>
      </c>
    </row>
    <row r="64" spans="1:5" ht="32.1" customHeight="1">
      <c r="A64" s="236" t="s">
        <v>727</v>
      </c>
      <c r="B64" s="237">
        <v>1079311</v>
      </c>
      <c r="C64" s="237">
        <v>2863</v>
      </c>
      <c r="D64" s="237">
        <v>833544</v>
      </c>
      <c r="E64" s="237">
        <v>21243</v>
      </c>
    </row>
    <row r="65" spans="1:5" ht="32.1" customHeight="1">
      <c r="A65" s="236" t="s">
        <v>728</v>
      </c>
      <c r="B65" s="237">
        <v>0</v>
      </c>
      <c r="C65" s="237">
        <v>648</v>
      </c>
      <c r="D65" s="237">
        <v>0</v>
      </c>
      <c r="E65" s="237">
        <v>21536</v>
      </c>
    </row>
    <row r="66" spans="1:5" ht="32.1" customHeight="1">
      <c r="A66" s="236" t="s">
        <v>681</v>
      </c>
      <c r="B66" s="237">
        <v>439518</v>
      </c>
      <c r="C66" s="237">
        <v>1395</v>
      </c>
      <c r="D66" s="237">
        <v>390613</v>
      </c>
      <c r="E66" s="237">
        <v>23678</v>
      </c>
    </row>
    <row r="67" spans="1:5" ht="32.1" customHeight="1">
      <c r="A67" s="236" t="s">
        <v>682</v>
      </c>
      <c r="B67" s="237">
        <v>0</v>
      </c>
      <c r="C67" s="237">
        <v>618</v>
      </c>
      <c r="D67" s="237">
        <v>0</v>
      </c>
      <c r="E67" s="237">
        <v>20099</v>
      </c>
    </row>
    <row r="68" spans="1:5" ht="32.1" customHeight="1">
      <c r="A68" s="236" t="s">
        <v>772</v>
      </c>
      <c r="B68" s="237">
        <v>253236</v>
      </c>
      <c r="C68" s="237">
        <v>1078</v>
      </c>
      <c r="D68" s="237">
        <v>87683</v>
      </c>
      <c r="E68" s="237">
        <v>7102</v>
      </c>
    </row>
    <row r="69" spans="1:5" ht="32.1" customHeight="1">
      <c r="A69" s="236" t="s">
        <v>729</v>
      </c>
      <c r="B69" s="237">
        <v>300948</v>
      </c>
      <c r="C69" s="237">
        <v>732</v>
      </c>
      <c r="D69" s="237">
        <v>227736</v>
      </c>
      <c r="E69" s="237">
        <v>11899</v>
      </c>
    </row>
    <row r="70" spans="1:5" ht="32.1" customHeight="1">
      <c r="A70" s="236" t="s">
        <v>755</v>
      </c>
      <c r="B70" s="237">
        <v>154312</v>
      </c>
      <c r="C70" s="237">
        <v>720</v>
      </c>
      <c r="D70" s="237">
        <v>135528</v>
      </c>
      <c r="E70" s="237">
        <v>8138</v>
      </c>
    </row>
    <row r="71" spans="1:5" ht="32.1" customHeight="1">
      <c r="A71" s="236" t="s">
        <v>684</v>
      </c>
      <c r="B71" s="237">
        <v>415032</v>
      </c>
      <c r="C71" s="237">
        <v>3217</v>
      </c>
      <c r="D71" s="237">
        <v>294241</v>
      </c>
      <c r="E71" s="237">
        <v>3814</v>
      </c>
    </row>
    <row r="72" spans="1:5" ht="32.1" customHeight="1">
      <c r="A72" s="236" t="s">
        <v>787</v>
      </c>
      <c r="B72" s="237">
        <v>67918</v>
      </c>
      <c r="C72" s="237">
        <v>358</v>
      </c>
      <c r="D72" s="237">
        <v>61970</v>
      </c>
      <c r="E72" s="237">
        <v>648</v>
      </c>
    </row>
    <row r="73" spans="1:5" ht="32.1" customHeight="1">
      <c r="A73" s="236" t="s">
        <v>685</v>
      </c>
      <c r="B73" s="237">
        <v>181546</v>
      </c>
      <c r="C73" s="237">
        <v>782</v>
      </c>
      <c r="D73" s="237">
        <v>151232</v>
      </c>
      <c r="E73" s="237">
        <v>7771</v>
      </c>
    </row>
    <row r="74" spans="1:5" ht="32.1" customHeight="1">
      <c r="A74" s="236" t="s">
        <v>756</v>
      </c>
      <c r="B74" s="237">
        <v>33283</v>
      </c>
      <c r="C74" s="237">
        <v>199</v>
      </c>
      <c r="D74" s="237">
        <v>21847</v>
      </c>
      <c r="E74" s="237">
        <v>253</v>
      </c>
    </row>
    <row r="75" spans="1:5" ht="32.1" customHeight="1">
      <c r="A75" s="236" t="s">
        <v>797</v>
      </c>
      <c r="B75" s="237">
        <v>0</v>
      </c>
      <c r="C75" s="237">
        <v>28</v>
      </c>
      <c r="D75" s="237">
        <v>0</v>
      </c>
      <c r="E75" s="237">
        <v>1546</v>
      </c>
    </row>
    <row r="76" spans="1:5" ht="32.1" customHeight="1">
      <c r="A76" s="236" t="s">
        <v>687</v>
      </c>
      <c r="B76" s="237">
        <v>261739</v>
      </c>
      <c r="C76" s="237">
        <v>1008</v>
      </c>
      <c r="D76" s="237">
        <v>207146</v>
      </c>
      <c r="E76" s="237">
        <v>13340</v>
      </c>
    </row>
    <row r="77" spans="1:5" ht="32.1" customHeight="1">
      <c r="A77" s="236" t="s">
        <v>688</v>
      </c>
      <c r="B77" s="237">
        <v>52992</v>
      </c>
      <c r="C77" s="237">
        <v>288</v>
      </c>
      <c r="D77" s="237">
        <v>47497</v>
      </c>
      <c r="E77" s="237">
        <v>811</v>
      </c>
    </row>
    <row r="78" spans="1:5" ht="32.1" customHeight="1">
      <c r="A78" s="236" t="s">
        <v>689</v>
      </c>
      <c r="B78" s="237">
        <v>0</v>
      </c>
      <c r="C78" s="237">
        <v>3029</v>
      </c>
      <c r="D78" s="237">
        <v>0</v>
      </c>
      <c r="E78" s="237">
        <v>38203</v>
      </c>
    </row>
    <row r="79" spans="1:5" ht="32.1" customHeight="1">
      <c r="A79" s="236" t="s">
        <v>835</v>
      </c>
      <c r="B79" s="237">
        <v>9238</v>
      </c>
      <c r="C79" s="237">
        <v>62</v>
      </c>
      <c r="D79" s="237">
        <v>5894</v>
      </c>
      <c r="E79" s="237">
        <v>77</v>
      </c>
    </row>
    <row r="80" spans="1:5" ht="32.1" customHeight="1">
      <c r="A80" s="236" t="s">
        <v>731</v>
      </c>
      <c r="B80" s="237">
        <v>105728</v>
      </c>
      <c r="C80" s="237">
        <v>414</v>
      </c>
      <c r="D80" s="237">
        <v>64727</v>
      </c>
      <c r="E80" s="237">
        <v>3926</v>
      </c>
    </row>
    <row r="81" spans="1:5" ht="32.1" customHeight="1">
      <c r="A81" s="236" t="s">
        <v>692</v>
      </c>
      <c r="B81" s="237">
        <v>821986</v>
      </c>
      <c r="C81" s="237">
        <v>3627</v>
      </c>
      <c r="D81" s="237">
        <v>676588</v>
      </c>
      <c r="E81" s="237">
        <v>15995</v>
      </c>
    </row>
    <row r="82" spans="1:5" ht="32.1" customHeight="1">
      <c r="A82" s="236" t="s">
        <v>694</v>
      </c>
      <c r="B82" s="237">
        <v>520927</v>
      </c>
      <c r="C82" s="237">
        <v>2182</v>
      </c>
      <c r="D82" s="237">
        <v>414726</v>
      </c>
      <c r="E82" s="237">
        <v>8972</v>
      </c>
    </row>
    <row r="83" spans="1:5" ht="32.1" customHeight="1">
      <c r="A83" s="236" t="s">
        <v>836</v>
      </c>
      <c r="B83" s="237">
        <v>6700</v>
      </c>
      <c r="C83" s="237">
        <v>20</v>
      </c>
      <c r="D83" s="237">
        <v>5851</v>
      </c>
      <c r="E83" s="237">
        <v>77</v>
      </c>
    </row>
    <row r="84" spans="1:5" ht="32.1" customHeight="1">
      <c r="A84" s="236" t="s">
        <v>805</v>
      </c>
      <c r="B84" s="237">
        <v>35176</v>
      </c>
      <c r="C84" s="237">
        <v>195</v>
      </c>
      <c r="D84" s="237">
        <v>32015</v>
      </c>
      <c r="E84" s="237">
        <v>337</v>
      </c>
    </row>
    <row r="85" spans="1:5" ht="32.1" customHeight="1">
      <c r="A85" s="236" t="s">
        <v>696</v>
      </c>
      <c r="B85" s="237">
        <v>1537421</v>
      </c>
      <c r="C85" s="237">
        <v>8065</v>
      </c>
      <c r="D85" s="237">
        <v>1250721</v>
      </c>
      <c r="E85" s="237">
        <v>30204</v>
      </c>
    </row>
    <row r="86" spans="1:5" ht="32.1" customHeight="1">
      <c r="A86" s="236" t="s">
        <v>776</v>
      </c>
      <c r="B86" s="237">
        <v>234382</v>
      </c>
      <c r="C86" s="237">
        <v>1484</v>
      </c>
      <c r="D86" s="237">
        <v>215916</v>
      </c>
      <c r="E86" s="237">
        <v>3271</v>
      </c>
    </row>
    <row r="87" spans="1:5" ht="32.1" customHeight="1">
      <c r="A87" s="236" t="s">
        <v>697</v>
      </c>
      <c r="B87" s="237">
        <v>2663952</v>
      </c>
      <c r="C87" s="237">
        <v>14981</v>
      </c>
      <c r="D87" s="237">
        <v>2142980</v>
      </c>
      <c r="E87" s="237">
        <v>43514</v>
      </c>
    </row>
    <row r="88" spans="1:5" ht="32.1" customHeight="1">
      <c r="A88" s="236" t="s">
        <v>698</v>
      </c>
      <c r="B88" s="237">
        <v>3005784</v>
      </c>
      <c r="C88" s="237">
        <v>15621</v>
      </c>
      <c r="D88" s="237">
        <v>2380343</v>
      </c>
      <c r="E88" s="237">
        <v>47724</v>
      </c>
    </row>
    <row r="89" spans="1:5" ht="32.1" customHeight="1">
      <c r="A89" s="236" t="s">
        <v>837</v>
      </c>
      <c r="B89" s="237">
        <v>27056</v>
      </c>
      <c r="C89" s="237">
        <v>160</v>
      </c>
      <c r="D89" s="237">
        <v>22522</v>
      </c>
      <c r="E89" s="237">
        <v>230</v>
      </c>
    </row>
    <row r="90" spans="1:5" ht="32.1" customHeight="1">
      <c r="A90" s="236" t="s">
        <v>777</v>
      </c>
      <c r="B90" s="237">
        <v>0</v>
      </c>
      <c r="C90" s="237">
        <v>16</v>
      </c>
      <c r="D90" s="237">
        <v>0</v>
      </c>
      <c r="E90" s="237">
        <v>248</v>
      </c>
    </row>
    <row r="91" spans="1:5" ht="32.1" customHeight="1">
      <c r="A91" s="236" t="s">
        <v>699</v>
      </c>
      <c r="B91" s="237">
        <v>212096</v>
      </c>
      <c r="C91" s="237">
        <v>1266</v>
      </c>
      <c r="D91" s="237">
        <v>159688</v>
      </c>
      <c r="E91" s="237">
        <v>3588</v>
      </c>
    </row>
    <row r="92" spans="1:5" ht="32.1" customHeight="1">
      <c r="A92" s="236" t="s">
        <v>700</v>
      </c>
      <c r="B92" s="237">
        <v>0</v>
      </c>
      <c r="C92" s="237">
        <v>186</v>
      </c>
      <c r="D92" s="237">
        <v>0</v>
      </c>
      <c r="E92" s="237">
        <v>1388</v>
      </c>
    </row>
    <row r="93" spans="1:5" ht="32.1" customHeight="1">
      <c r="A93" s="236" t="s">
        <v>701</v>
      </c>
      <c r="B93" s="237">
        <v>125546</v>
      </c>
      <c r="C93" s="237">
        <v>730</v>
      </c>
      <c r="D93" s="237">
        <v>95589</v>
      </c>
      <c r="E93" s="237">
        <v>1746</v>
      </c>
    </row>
    <row r="94" spans="1:5" ht="32.1" customHeight="1">
      <c r="A94" s="236" t="s">
        <v>702</v>
      </c>
      <c r="B94" s="237">
        <v>0</v>
      </c>
      <c r="C94" s="237">
        <v>544</v>
      </c>
      <c r="D94" s="237">
        <v>0</v>
      </c>
      <c r="E94" s="237">
        <v>30222</v>
      </c>
    </row>
    <row r="95" spans="1:5" ht="32.1" customHeight="1">
      <c r="A95" s="236" t="s">
        <v>703</v>
      </c>
      <c r="B95" s="237">
        <v>986211</v>
      </c>
      <c r="C95" s="237">
        <v>4174</v>
      </c>
      <c r="D95" s="237">
        <v>838334</v>
      </c>
      <c r="E95" s="237">
        <v>24318</v>
      </c>
    </row>
    <row r="96" spans="1:5" ht="32.1" customHeight="1">
      <c r="A96" s="236" t="s">
        <v>838</v>
      </c>
      <c r="B96" s="237">
        <v>19944</v>
      </c>
      <c r="C96" s="237">
        <v>110</v>
      </c>
      <c r="D96" s="237">
        <v>14040</v>
      </c>
      <c r="E96" s="237">
        <v>133</v>
      </c>
    </row>
    <row r="97" spans="1:5" ht="32.1" customHeight="1">
      <c r="A97" s="236" t="s">
        <v>757</v>
      </c>
      <c r="B97" s="237">
        <v>187042</v>
      </c>
      <c r="C97" s="237">
        <v>1054</v>
      </c>
      <c r="D97" s="237">
        <v>167696</v>
      </c>
      <c r="E97" s="237">
        <v>2002</v>
      </c>
    </row>
    <row r="98" spans="1:5" ht="32.1" customHeight="1">
      <c r="A98" s="236" t="s">
        <v>778</v>
      </c>
      <c r="B98" s="237">
        <v>105294</v>
      </c>
      <c r="C98" s="237">
        <v>381</v>
      </c>
      <c r="D98" s="237">
        <v>85188</v>
      </c>
      <c r="E98" s="237">
        <v>4585</v>
      </c>
    </row>
    <row r="99" spans="1:5" ht="32.1" customHeight="1">
      <c r="A99" s="236" t="s">
        <v>779</v>
      </c>
      <c r="B99" s="237">
        <v>1056996</v>
      </c>
      <c r="C99" s="237">
        <v>5780</v>
      </c>
      <c r="D99" s="237">
        <v>909787</v>
      </c>
      <c r="E99" s="237">
        <v>9678</v>
      </c>
    </row>
    <row r="100" spans="1:5" ht="32.1" customHeight="1">
      <c r="A100" s="236" t="s">
        <v>827</v>
      </c>
      <c r="B100" s="237">
        <v>117816</v>
      </c>
      <c r="C100" s="237">
        <v>744</v>
      </c>
      <c r="D100" s="237">
        <v>92864</v>
      </c>
      <c r="E100" s="237">
        <v>1639</v>
      </c>
    </row>
    <row r="101" spans="1:5" ht="32.1" customHeight="1">
      <c r="A101" s="236" t="s">
        <v>839</v>
      </c>
      <c r="B101" s="237">
        <v>0</v>
      </c>
      <c r="C101" s="237">
        <v>90</v>
      </c>
      <c r="D101" s="237">
        <v>0</v>
      </c>
      <c r="E101" s="237">
        <v>2684</v>
      </c>
    </row>
    <row r="102" spans="1:5" ht="32.1" customHeight="1">
      <c r="A102" s="236" t="s">
        <v>704</v>
      </c>
      <c r="B102" s="237">
        <v>0</v>
      </c>
      <c r="C102" s="237">
        <v>300</v>
      </c>
      <c r="D102" s="237">
        <v>0</v>
      </c>
      <c r="E102" s="237">
        <v>13945</v>
      </c>
    </row>
    <row r="103" spans="1:5" ht="32.1" customHeight="1">
      <c r="A103" s="236" t="s">
        <v>705</v>
      </c>
      <c r="B103" s="237">
        <v>279774</v>
      </c>
      <c r="C103" s="237">
        <v>1224</v>
      </c>
      <c r="D103" s="237">
        <v>230849</v>
      </c>
      <c r="E103" s="237">
        <v>59618</v>
      </c>
    </row>
    <row r="104" spans="1:5" ht="32.1" customHeight="1">
      <c r="A104" s="236" t="s">
        <v>706</v>
      </c>
      <c r="B104" s="237">
        <v>0</v>
      </c>
      <c r="C104" s="237">
        <v>137</v>
      </c>
      <c r="D104" s="237">
        <v>0</v>
      </c>
      <c r="E104" s="237">
        <v>3534</v>
      </c>
    </row>
    <row r="105" spans="1:5" ht="32.1" customHeight="1">
      <c r="A105" s="236" t="s">
        <v>707</v>
      </c>
      <c r="B105" s="237">
        <v>1241746</v>
      </c>
      <c r="C105" s="237">
        <v>4349</v>
      </c>
      <c r="D105" s="237">
        <v>1009940</v>
      </c>
      <c r="E105" s="237">
        <v>50425</v>
      </c>
    </row>
    <row r="106" spans="1:5" ht="32.1" customHeight="1">
      <c r="A106" s="236" t="s">
        <v>708</v>
      </c>
      <c r="B106" s="237">
        <v>181170</v>
      </c>
      <c r="C106" s="237">
        <v>1053</v>
      </c>
      <c r="D106" s="237">
        <v>139899</v>
      </c>
      <c r="E106" s="237">
        <v>2233</v>
      </c>
    </row>
    <row r="107" spans="1:5" ht="32.1" customHeight="1">
      <c r="A107" s="236" t="s">
        <v>807</v>
      </c>
      <c r="B107" s="237">
        <v>206280</v>
      </c>
      <c r="C107" s="237">
        <v>1146</v>
      </c>
      <c r="D107" s="237">
        <v>175961</v>
      </c>
      <c r="E107" s="237">
        <v>1734</v>
      </c>
    </row>
    <row r="108" spans="1:5" ht="32.1" customHeight="1">
      <c r="A108" s="236" t="s">
        <v>788</v>
      </c>
      <c r="B108" s="237">
        <v>792196</v>
      </c>
      <c r="C108" s="237">
        <v>2108</v>
      </c>
      <c r="D108" s="237">
        <v>643534</v>
      </c>
      <c r="E108" s="237">
        <v>14548</v>
      </c>
    </row>
    <row r="109" spans="1:5" ht="32.1" customHeight="1">
      <c r="A109" s="236" t="s">
        <v>709</v>
      </c>
      <c r="B109" s="237">
        <v>1384884</v>
      </c>
      <c r="C109" s="237">
        <v>4106</v>
      </c>
      <c r="D109" s="237">
        <v>1090558</v>
      </c>
      <c r="E109" s="237">
        <v>49118</v>
      </c>
    </row>
    <row r="110" spans="1:5" ht="32.1" customHeight="1">
      <c r="A110" s="236" t="s">
        <v>710</v>
      </c>
      <c r="B110" s="237">
        <v>372562</v>
      </c>
      <c r="C110" s="237">
        <v>1336</v>
      </c>
      <c r="D110" s="237">
        <v>332162</v>
      </c>
      <c r="E110" s="237">
        <v>31113</v>
      </c>
    </row>
    <row r="111" spans="1:5" ht="32.1" customHeight="1">
      <c r="A111" s="236" t="s">
        <v>821</v>
      </c>
      <c r="B111" s="237">
        <v>12528</v>
      </c>
      <c r="C111" s="237">
        <v>81</v>
      </c>
      <c r="D111" s="237">
        <v>9323</v>
      </c>
      <c r="E111" s="237">
        <v>103</v>
      </c>
    </row>
    <row r="112" spans="1:5" ht="32.1" customHeight="1">
      <c r="A112" s="236" t="s">
        <v>808</v>
      </c>
      <c r="B112" s="237">
        <v>422100</v>
      </c>
      <c r="C112" s="237">
        <v>2347</v>
      </c>
      <c r="D112" s="237">
        <v>347079</v>
      </c>
      <c r="E112" s="237">
        <v>3552</v>
      </c>
    </row>
    <row r="113" spans="1:5" ht="32.1" customHeight="1">
      <c r="A113" s="236" t="s">
        <v>712</v>
      </c>
      <c r="B113" s="237">
        <v>0</v>
      </c>
      <c r="C113" s="237">
        <v>2612</v>
      </c>
      <c r="D113" s="237">
        <v>0</v>
      </c>
      <c r="E113" s="237">
        <v>54374</v>
      </c>
    </row>
    <row r="114" spans="1:5" ht="32.1" customHeight="1">
      <c r="A114" s="236" t="s">
        <v>713</v>
      </c>
      <c r="B114" s="237">
        <v>0</v>
      </c>
      <c r="C114" s="237">
        <v>3701</v>
      </c>
      <c r="D114" s="237">
        <v>0</v>
      </c>
      <c r="E114" s="237">
        <v>113206</v>
      </c>
    </row>
    <row r="115" spans="1:5" ht="32.1" customHeight="1">
      <c r="A115" s="236" t="s">
        <v>809</v>
      </c>
      <c r="B115" s="237">
        <v>170016</v>
      </c>
      <c r="C115" s="237">
        <v>610</v>
      </c>
      <c r="D115" s="237">
        <v>146066</v>
      </c>
      <c r="E115" s="237">
        <v>7409</v>
      </c>
    </row>
    <row r="116" spans="1:5" ht="32.1" customHeight="1">
      <c r="A116" s="236" t="s">
        <v>715</v>
      </c>
      <c r="B116" s="237">
        <v>320368</v>
      </c>
      <c r="C116" s="237">
        <v>878</v>
      </c>
      <c r="D116" s="237">
        <v>283010</v>
      </c>
      <c r="E116" s="237">
        <v>18047</v>
      </c>
    </row>
    <row r="117" spans="1:5" ht="32.1" customHeight="1">
      <c r="A117" s="236" t="s">
        <v>759</v>
      </c>
      <c r="B117" s="237">
        <v>963900</v>
      </c>
      <c r="C117" s="237">
        <v>5355</v>
      </c>
      <c r="D117" s="237">
        <v>729457</v>
      </c>
      <c r="E117" s="237">
        <v>4654</v>
      </c>
    </row>
    <row r="118" spans="1:5" ht="32.1" customHeight="1">
      <c r="A118" s="236" t="s">
        <v>716</v>
      </c>
      <c r="B118" s="237">
        <v>247274</v>
      </c>
      <c r="C118" s="237">
        <v>724</v>
      </c>
      <c r="D118" s="237">
        <v>214986</v>
      </c>
      <c r="E118" s="237">
        <v>14850</v>
      </c>
    </row>
    <row r="119" spans="1:5" ht="32.1" customHeight="1">
      <c r="A119" s="236" t="s">
        <v>822</v>
      </c>
      <c r="B119" s="237">
        <v>815492</v>
      </c>
      <c r="C119" s="237">
        <v>4523</v>
      </c>
      <c r="D119" s="237">
        <v>651590</v>
      </c>
      <c r="E119" s="237">
        <v>6774</v>
      </c>
    </row>
    <row r="120" spans="1:5" ht="32.1" customHeight="1">
      <c r="A120" s="236" t="s">
        <v>718</v>
      </c>
      <c r="B120" s="237">
        <v>967693</v>
      </c>
      <c r="C120" s="237">
        <v>4209</v>
      </c>
      <c r="D120" s="237">
        <v>800049</v>
      </c>
      <c r="E120" s="237">
        <v>17033</v>
      </c>
    </row>
    <row r="121" spans="1:5" ht="32.1" customHeight="1">
      <c r="A121" s="236" t="s">
        <v>745</v>
      </c>
      <c r="B121" s="237">
        <v>158344</v>
      </c>
      <c r="C121" s="237">
        <v>540</v>
      </c>
      <c r="D121" s="237">
        <v>132678</v>
      </c>
      <c r="E121" s="237">
        <v>6623</v>
      </c>
    </row>
    <row r="122" spans="1:5" ht="32.1" customHeight="1">
      <c r="A122" s="236" t="s">
        <v>733</v>
      </c>
      <c r="B122" s="237">
        <v>728</v>
      </c>
      <c r="C122" s="237">
        <v>2</v>
      </c>
      <c r="D122" s="237">
        <v>468</v>
      </c>
      <c r="E122" s="237">
        <v>8</v>
      </c>
    </row>
    <row r="123" spans="1:5" ht="32.1" customHeight="1">
      <c r="A123" s="236" t="s">
        <v>720</v>
      </c>
      <c r="B123" s="237">
        <v>550192</v>
      </c>
      <c r="C123" s="237">
        <v>2557</v>
      </c>
      <c r="D123" s="237">
        <v>495972</v>
      </c>
      <c r="E123" s="237">
        <v>6640</v>
      </c>
    </row>
    <row r="124" spans="1:5" ht="32.1" customHeight="1">
      <c r="A124" s="236" t="s">
        <v>789</v>
      </c>
      <c r="B124" s="237">
        <v>302678</v>
      </c>
      <c r="C124" s="237">
        <v>1410</v>
      </c>
      <c r="D124" s="237">
        <v>238516</v>
      </c>
      <c r="E124" s="237">
        <v>6687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9010D-44ED-46FC-9A26-1D4B73195D80}">
  <dimension ref="A1:E146"/>
  <sheetViews>
    <sheetView workbookViewId="0">
      <selection sqref="A1:E1"/>
    </sheetView>
  </sheetViews>
  <sheetFormatPr defaultColWidth="9" defaultRowHeight="16.5"/>
  <cols>
    <col min="1" max="1" width="48.5" style="14" customWidth="1"/>
    <col min="2" max="3" width="28.375" style="14" customWidth="1"/>
    <col min="4" max="5" width="28.5" style="14" customWidth="1"/>
    <col min="6" max="16384" width="9" style="14"/>
  </cols>
  <sheetData>
    <row r="1" spans="1:5" ht="33.950000000000003" customHeight="1">
      <c r="A1" s="435" t="s">
        <v>840</v>
      </c>
      <c r="B1" s="436"/>
      <c r="C1" s="436"/>
      <c r="D1" s="436"/>
      <c r="E1" s="436"/>
    </row>
    <row r="2" spans="1:5" ht="36.950000000000003" customHeight="1">
      <c r="A2" s="235" t="s">
        <v>624</v>
      </c>
      <c r="B2" s="235" t="s">
        <v>625</v>
      </c>
      <c r="C2" s="235" t="s">
        <v>626</v>
      </c>
      <c r="D2" s="235" t="s">
        <v>340</v>
      </c>
      <c r="E2" s="235" t="s">
        <v>342</v>
      </c>
    </row>
    <row r="3" spans="1:5" ht="32.1" customHeight="1">
      <c r="A3" s="236" t="s">
        <v>627</v>
      </c>
      <c r="B3" s="237">
        <v>57043334</v>
      </c>
      <c r="C3" s="237">
        <v>339597</v>
      </c>
      <c r="D3" s="237">
        <v>39671379</v>
      </c>
      <c r="E3" s="237">
        <v>3252778</v>
      </c>
    </row>
    <row r="4" spans="1:5" ht="32.1" customHeight="1">
      <c r="A4" s="236" t="s">
        <v>628</v>
      </c>
      <c r="B4" s="237">
        <v>48876694</v>
      </c>
      <c r="C4" s="237">
        <v>275368</v>
      </c>
      <c r="D4" s="237">
        <v>34952212</v>
      </c>
      <c r="E4" s="237">
        <v>2346383</v>
      </c>
    </row>
    <row r="5" spans="1:5" ht="32.1" customHeight="1">
      <c r="A5" s="236" t="s">
        <v>629</v>
      </c>
      <c r="B5" s="237">
        <v>12001426</v>
      </c>
      <c r="C5" s="237">
        <v>79983</v>
      </c>
      <c r="D5" s="237">
        <v>7692395</v>
      </c>
      <c r="E5" s="237">
        <v>1451998</v>
      </c>
    </row>
    <row r="6" spans="1:5" ht="32.1" customHeight="1">
      <c r="A6" s="236" t="s">
        <v>630</v>
      </c>
      <c r="B6" s="237">
        <v>10217551</v>
      </c>
      <c r="C6" s="237">
        <v>55745</v>
      </c>
      <c r="D6" s="237">
        <v>6701035</v>
      </c>
      <c r="E6" s="237">
        <v>762706</v>
      </c>
    </row>
    <row r="7" spans="1:5" ht="32.1" customHeight="1">
      <c r="A7" s="236" t="s">
        <v>631</v>
      </c>
      <c r="B7" s="237">
        <v>6841422</v>
      </c>
      <c r="C7" s="237">
        <v>36248</v>
      </c>
      <c r="D7" s="237">
        <v>5488712</v>
      </c>
      <c r="E7" s="237">
        <v>30381</v>
      </c>
    </row>
    <row r="8" spans="1:5" ht="32.1" customHeight="1">
      <c r="A8" s="236" t="s">
        <v>632</v>
      </c>
      <c r="B8" s="237">
        <v>5831604</v>
      </c>
      <c r="C8" s="237">
        <v>29356</v>
      </c>
      <c r="D8" s="237">
        <v>4321451</v>
      </c>
      <c r="E8" s="237">
        <v>29905</v>
      </c>
    </row>
    <row r="9" spans="1:5" ht="32.1" customHeight="1">
      <c r="A9" s="236" t="s">
        <v>633</v>
      </c>
      <c r="B9" s="237">
        <v>5215538</v>
      </c>
      <c r="C9" s="237">
        <v>26783</v>
      </c>
      <c r="D9" s="237">
        <v>3801599</v>
      </c>
      <c r="E9" s="237">
        <v>21355</v>
      </c>
    </row>
    <row r="10" spans="1:5" ht="32.1" customHeight="1">
      <c r="A10" s="236" t="s">
        <v>634</v>
      </c>
      <c r="B10" s="237">
        <v>1292238</v>
      </c>
      <c r="C10" s="237">
        <v>6743</v>
      </c>
      <c r="D10" s="237">
        <v>984718</v>
      </c>
      <c r="E10" s="237">
        <v>6452</v>
      </c>
    </row>
    <row r="11" spans="1:5" ht="32.1" customHeight="1">
      <c r="A11" s="236" t="s">
        <v>722</v>
      </c>
      <c r="B11" s="237">
        <v>5805329</v>
      </c>
      <c r="C11" s="237">
        <v>30786</v>
      </c>
      <c r="D11" s="237">
        <v>4640807</v>
      </c>
      <c r="E11" s="237">
        <v>24533</v>
      </c>
    </row>
    <row r="12" spans="1:5" ht="32.1" customHeight="1">
      <c r="A12" s="236" t="s">
        <v>762</v>
      </c>
      <c r="B12" s="237">
        <v>0</v>
      </c>
      <c r="C12" s="237">
        <v>1381</v>
      </c>
      <c r="D12" s="237">
        <v>0</v>
      </c>
      <c r="E12" s="237">
        <v>12346</v>
      </c>
    </row>
    <row r="13" spans="1:5" ht="32.1" customHeight="1">
      <c r="A13" s="236" t="s">
        <v>800</v>
      </c>
      <c r="B13" s="237">
        <v>1381240</v>
      </c>
      <c r="C13" s="237">
        <v>6778</v>
      </c>
      <c r="D13" s="237">
        <v>1167131</v>
      </c>
      <c r="E13" s="237">
        <v>5801</v>
      </c>
    </row>
    <row r="14" spans="1:5" ht="32.1" customHeight="1">
      <c r="A14" s="236" t="s">
        <v>829</v>
      </c>
      <c r="B14" s="237">
        <v>290346</v>
      </c>
      <c r="C14" s="237">
        <v>1565</v>
      </c>
      <c r="D14" s="237">
        <v>154364</v>
      </c>
      <c r="E14" s="237">
        <v>904</v>
      </c>
    </row>
    <row r="15" spans="1:5" ht="32.1" customHeight="1">
      <c r="A15" s="236" t="s">
        <v>635</v>
      </c>
      <c r="B15" s="237">
        <v>8166640</v>
      </c>
      <c r="C15" s="237">
        <v>64229</v>
      </c>
      <c r="D15" s="237">
        <v>4719167</v>
      </c>
      <c r="E15" s="237">
        <v>906395</v>
      </c>
    </row>
    <row r="16" spans="1:5" ht="32.1" customHeight="1">
      <c r="A16" s="236" t="s">
        <v>841</v>
      </c>
      <c r="B16" s="237">
        <v>0</v>
      </c>
      <c r="C16" s="237">
        <v>3</v>
      </c>
      <c r="D16" s="237">
        <v>0</v>
      </c>
      <c r="E16" s="237">
        <v>21</v>
      </c>
    </row>
    <row r="17" spans="1:5" ht="32.1" customHeight="1">
      <c r="A17" s="236" t="s">
        <v>842</v>
      </c>
      <c r="B17" s="237">
        <v>0</v>
      </c>
      <c r="C17" s="237">
        <v>2</v>
      </c>
      <c r="D17" s="237">
        <v>0</v>
      </c>
      <c r="E17" s="237">
        <v>32</v>
      </c>
    </row>
    <row r="18" spans="1:5" ht="32.1" customHeight="1">
      <c r="A18" s="236" t="s">
        <v>843</v>
      </c>
      <c r="B18" s="237">
        <v>0</v>
      </c>
      <c r="C18" s="237">
        <v>2</v>
      </c>
      <c r="D18" s="237">
        <v>0</v>
      </c>
      <c r="E18" s="237">
        <v>21</v>
      </c>
    </row>
    <row r="19" spans="1:5" ht="32.1" customHeight="1">
      <c r="A19" s="236" t="s">
        <v>830</v>
      </c>
      <c r="B19" s="237">
        <v>0</v>
      </c>
      <c r="C19" s="237">
        <v>424</v>
      </c>
      <c r="D19" s="237">
        <v>0</v>
      </c>
      <c r="E19" s="237">
        <v>3664</v>
      </c>
    </row>
    <row r="20" spans="1:5" ht="32.1" customHeight="1">
      <c r="A20" s="236" t="s">
        <v>638</v>
      </c>
      <c r="B20" s="237">
        <v>141834</v>
      </c>
      <c r="C20" s="237">
        <v>556</v>
      </c>
      <c r="D20" s="237">
        <v>73970</v>
      </c>
      <c r="E20" s="237">
        <v>7781</v>
      </c>
    </row>
    <row r="21" spans="1:5" ht="32.1" customHeight="1">
      <c r="A21" s="236" t="s">
        <v>801</v>
      </c>
      <c r="B21" s="237">
        <v>0</v>
      </c>
      <c r="C21" s="237">
        <v>14</v>
      </c>
      <c r="D21" s="237">
        <v>0</v>
      </c>
      <c r="E21" s="237">
        <v>149</v>
      </c>
    </row>
    <row r="22" spans="1:5" ht="32.1" customHeight="1">
      <c r="A22" s="236" t="s">
        <v>641</v>
      </c>
      <c r="B22" s="237">
        <v>167614</v>
      </c>
      <c r="C22" s="237">
        <v>522</v>
      </c>
      <c r="D22" s="237">
        <v>69173</v>
      </c>
      <c r="E22" s="237">
        <v>11880</v>
      </c>
    </row>
    <row r="23" spans="1:5" ht="32.1" customHeight="1">
      <c r="A23" s="236" t="s">
        <v>831</v>
      </c>
      <c r="B23" s="237">
        <v>32373</v>
      </c>
      <c r="C23" s="237">
        <v>146</v>
      </c>
      <c r="D23" s="237">
        <v>21848</v>
      </c>
      <c r="E23" s="237">
        <v>1666</v>
      </c>
    </row>
    <row r="24" spans="1:5" ht="32.1" customHeight="1">
      <c r="A24" s="236" t="s">
        <v>643</v>
      </c>
      <c r="B24" s="237">
        <v>477117</v>
      </c>
      <c r="C24" s="237">
        <v>2122</v>
      </c>
      <c r="D24" s="237">
        <v>206684</v>
      </c>
      <c r="E24" s="237">
        <v>21114</v>
      </c>
    </row>
    <row r="25" spans="1:5" ht="32.1" customHeight="1">
      <c r="A25" s="236" t="s">
        <v>765</v>
      </c>
      <c r="B25" s="237">
        <v>21224</v>
      </c>
      <c r="C25" s="237">
        <v>152</v>
      </c>
      <c r="D25" s="237">
        <v>14323</v>
      </c>
      <c r="E25" s="237">
        <v>309</v>
      </c>
    </row>
    <row r="26" spans="1:5" ht="32.1" customHeight="1">
      <c r="A26" s="236" t="s">
        <v>832</v>
      </c>
      <c r="B26" s="237">
        <v>0</v>
      </c>
      <c r="C26" s="237">
        <v>8</v>
      </c>
      <c r="D26" s="237">
        <v>0</v>
      </c>
      <c r="E26" s="237">
        <v>205</v>
      </c>
    </row>
    <row r="27" spans="1:5" ht="32.1" customHeight="1">
      <c r="A27" s="236" t="s">
        <v>645</v>
      </c>
      <c r="B27" s="237">
        <v>54636</v>
      </c>
      <c r="C27" s="237">
        <v>192</v>
      </c>
      <c r="D27" s="237">
        <v>37128</v>
      </c>
      <c r="E27" s="237">
        <v>2193</v>
      </c>
    </row>
    <row r="28" spans="1:5" ht="32.1" customHeight="1">
      <c r="A28" s="236" t="s">
        <v>844</v>
      </c>
      <c r="B28" s="237">
        <v>470</v>
      </c>
      <c r="C28" s="237">
        <v>6</v>
      </c>
      <c r="D28" s="237">
        <v>95</v>
      </c>
      <c r="E28" s="237">
        <v>25</v>
      </c>
    </row>
    <row r="29" spans="1:5" ht="32.1" customHeight="1">
      <c r="A29" s="236" t="s">
        <v>845</v>
      </c>
      <c r="B29" s="237">
        <v>0</v>
      </c>
      <c r="C29" s="237">
        <v>6</v>
      </c>
      <c r="D29" s="237">
        <v>0</v>
      </c>
      <c r="E29" s="237">
        <v>136</v>
      </c>
    </row>
    <row r="30" spans="1:5" ht="32.1" customHeight="1">
      <c r="A30" s="236" t="s">
        <v>646</v>
      </c>
      <c r="B30" s="237">
        <v>127405</v>
      </c>
      <c r="C30" s="237">
        <v>395</v>
      </c>
      <c r="D30" s="237">
        <v>73902</v>
      </c>
      <c r="E30" s="237">
        <v>5960</v>
      </c>
    </row>
    <row r="31" spans="1:5" ht="32.1" customHeight="1">
      <c r="A31" s="236" t="s">
        <v>647</v>
      </c>
      <c r="B31" s="237">
        <v>0</v>
      </c>
      <c r="C31" s="237">
        <v>916</v>
      </c>
      <c r="D31" s="237">
        <v>0</v>
      </c>
      <c r="E31" s="237">
        <v>17738</v>
      </c>
    </row>
    <row r="32" spans="1:5" ht="32.1" customHeight="1">
      <c r="A32" s="236" t="s">
        <v>824</v>
      </c>
      <c r="B32" s="237">
        <v>15324</v>
      </c>
      <c r="C32" s="237">
        <v>96</v>
      </c>
      <c r="D32" s="237">
        <v>11660</v>
      </c>
      <c r="E32" s="237">
        <v>166</v>
      </c>
    </row>
    <row r="33" spans="1:5" ht="32.1" customHeight="1">
      <c r="A33" s="236" t="s">
        <v>649</v>
      </c>
      <c r="B33" s="237">
        <v>68964</v>
      </c>
      <c r="C33" s="237">
        <v>542</v>
      </c>
      <c r="D33" s="237">
        <v>44171</v>
      </c>
      <c r="E33" s="237">
        <v>9049</v>
      </c>
    </row>
    <row r="34" spans="1:5" ht="32.1" customHeight="1">
      <c r="A34" s="236" t="s">
        <v>650</v>
      </c>
      <c r="B34" s="237">
        <v>50294</v>
      </c>
      <c r="C34" s="237">
        <v>244</v>
      </c>
      <c r="D34" s="237">
        <v>35448</v>
      </c>
      <c r="E34" s="237">
        <v>1951</v>
      </c>
    </row>
    <row r="35" spans="1:5" ht="32.1" customHeight="1">
      <c r="A35" s="236" t="s">
        <v>651</v>
      </c>
      <c r="B35" s="237">
        <v>0</v>
      </c>
      <c r="C35" s="237">
        <v>1440</v>
      </c>
      <c r="D35" s="237">
        <v>0</v>
      </c>
      <c r="E35" s="237">
        <v>48390</v>
      </c>
    </row>
    <row r="36" spans="1:5" ht="32.1" customHeight="1">
      <c r="A36" s="236" t="s">
        <v>846</v>
      </c>
      <c r="B36" s="237">
        <v>3276</v>
      </c>
      <c r="C36" s="237">
        <v>28</v>
      </c>
      <c r="D36" s="237">
        <v>2641</v>
      </c>
      <c r="E36" s="237">
        <v>89</v>
      </c>
    </row>
    <row r="37" spans="1:5" ht="32.1" customHeight="1">
      <c r="A37" s="236" t="s">
        <v>782</v>
      </c>
      <c r="B37" s="237">
        <v>30082</v>
      </c>
      <c r="C37" s="237">
        <v>240</v>
      </c>
      <c r="D37" s="237">
        <v>17964</v>
      </c>
      <c r="E37" s="237">
        <v>628</v>
      </c>
    </row>
    <row r="38" spans="1:5" ht="32.1" customHeight="1">
      <c r="A38" s="236" t="s">
        <v>833</v>
      </c>
      <c r="B38" s="237">
        <v>48400</v>
      </c>
      <c r="C38" s="237">
        <v>351</v>
      </c>
      <c r="D38" s="237">
        <v>23141</v>
      </c>
      <c r="E38" s="237">
        <v>2013</v>
      </c>
    </row>
    <row r="39" spans="1:5" ht="32.1" customHeight="1">
      <c r="A39" s="236" t="s">
        <v>652</v>
      </c>
      <c r="B39" s="237">
        <v>292130</v>
      </c>
      <c r="C39" s="237">
        <v>1302</v>
      </c>
      <c r="D39" s="237">
        <v>210113</v>
      </c>
      <c r="E39" s="237">
        <v>11442</v>
      </c>
    </row>
    <row r="40" spans="1:5" ht="32.1" customHeight="1">
      <c r="A40" s="236" t="s">
        <v>653</v>
      </c>
      <c r="B40" s="237">
        <v>0</v>
      </c>
      <c r="C40" s="237">
        <v>29</v>
      </c>
      <c r="D40" s="237">
        <v>0</v>
      </c>
      <c r="E40" s="237">
        <v>1138</v>
      </c>
    </row>
    <row r="41" spans="1:5" ht="32.1" customHeight="1">
      <c r="A41" s="236" t="s">
        <v>768</v>
      </c>
      <c r="B41" s="237">
        <v>5676</v>
      </c>
      <c r="C41" s="237">
        <v>32</v>
      </c>
      <c r="D41" s="237">
        <v>4494</v>
      </c>
      <c r="E41" s="237">
        <v>46</v>
      </c>
    </row>
    <row r="42" spans="1:5" ht="32.1" customHeight="1">
      <c r="A42" s="236" t="s">
        <v>750</v>
      </c>
      <c r="B42" s="237">
        <v>11772</v>
      </c>
      <c r="C42" s="237">
        <v>74</v>
      </c>
      <c r="D42" s="237">
        <v>5850</v>
      </c>
      <c r="E42" s="237">
        <v>132</v>
      </c>
    </row>
    <row r="43" spans="1:5" ht="32.1" customHeight="1">
      <c r="A43" s="236" t="s">
        <v>847</v>
      </c>
      <c r="B43" s="237">
        <v>18270</v>
      </c>
      <c r="C43" s="237">
        <v>180</v>
      </c>
      <c r="D43" s="237">
        <v>306</v>
      </c>
      <c r="E43" s="237">
        <v>1327</v>
      </c>
    </row>
    <row r="44" spans="1:5" ht="32.1" customHeight="1">
      <c r="A44" s="236" t="s">
        <v>769</v>
      </c>
      <c r="B44" s="237">
        <v>428146</v>
      </c>
      <c r="C44" s="237">
        <v>2003</v>
      </c>
      <c r="D44" s="237">
        <v>291135</v>
      </c>
      <c r="E44" s="237">
        <v>3892</v>
      </c>
    </row>
    <row r="45" spans="1:5" ht="32.1" customHeight="1">
      <c r="A45" s="236" t="s">
        <v>657</v>
      </c>
      <c r="B45" s="237">
        <v>1967</v>
      </c>
      <c r="C45" s="237">
        <v>8</v>
      </c>
      <c r="D45" s="237">
        <v>922</v>
      </c>
      <c r="E45" s="237">
        <v>85</v>
      </c>
    </row>
    <row r="46" spans="1:5" ht="32.1" customHeight="1">
      <c r="A46" s="236" t="s">
        <v>724</v>
      </c>
      <c r="B46" s="237">
        <v>12624</v>
      </c>
      <c r="C46" s="237">
        <v>126</v>
      </c>
      <c r="D46" s="237">
        <v>6556</v>
      </c>
      <c r="E46" s="237">
        <v>455</v>
      </c>
    </row>
    <row r="47" spans="1:5" ht="32.1" customHeight="1">
      <c r="A47" s="236" t="s">
        <v>658</v>
      </c>
      <c r="B47" s="237">
        <v>167270</v>
      </c>
      <c r="C47" s="237">
        <v>1767</v>
      </c>
      <c r="D47" s="237">
        <v>107318</v>
      </c>
      <c r="E47" s="237">
        <v>6146</v>
      </c>
    </row>
    <row r="48" spans="1:5" ht="32.1" customHeight="1">
      <c r="A48" s="236" t="s">
        <v>659</v>
      </c>
      <c r="B48" s="237">
        <v>49036</v>
      </c>
      <c r="C48" s="237">
        <v>237</v>
      </c>
      <c r="D48" s="237">
        <v>31589</v>
      </c>
      <c r="E48" s="237">
        <v>612</v>
      </c>
    </row>
    <row r="49" spans="1:5" ht="32.1" customHeight="1">
      <c r="A49" s="236" t="s">
        <v>660</v>
      </c>
      <c r="B49" s="237">
        <v>114410</v>
      </c>
      <c r="C49" s="237">
        <v>465</v>
      </c>
      <c r="D49" s="237">
        <v>62976</v>
      </c>
      <c r="E49" s="237">
        <v>2789</v>
      </c>
    </row>
    <row r="50" spans="1:5" ht="32.1" customHeight="1">
      <c r="A50" s="236" t="s">
        <v>848</v>
      </c>
      <c r="B50" s="237">
        <v>1726</v>
      </c>
      <c r="C50" s="237">
        <v>8</v>
      </c>
      <c r="D50" s="237">
        <v>868</v>
      </c>
      <c r="E50" s="237">
        <v>79</v>
      </c>
    </row>
    <row r="51" spans="1:5" ht="32.1" customHeight="1">
      <c r="A51" s="236" t="s">
        <v>739</v>
      </c>
      <c r="B51" s="237">
        <v>37036</v>
      </c>
      <c r="C51" s="237">
        <v>200</v>
      </c>
      <c r="D51" s="237">
        <v>25160</v>
      </c>
      <c r="E51" s="237">
        <v>256</v>
      </c>
    </row>
    <row r="52" spans="1:5" ht="32.1" customHeight="1">
      <c r="A52" s="236" t="s">
        <v>849</v>
      </c>
      <c r="B52" s="237">
        <v>651</v>
      </c>
      <c r="C52" s="237">
        <v>7</v>
      </c>
      <c r="D52" s="237">
        <v>46</v>
      </c>
      <c r="E52" s="237">
        <v>32</v>
      </c>
    </row>
    <row r="53" spans="1:5" ht="32.1" customHeight="1">
      <c r="A53" s="236" t="s">
        <v>816</v>
      </c>
      <c r="B53" s="237">
        <v>42840</v>
      </c>
      <c r="C53" s="237">
        <v>130</v>
      </c>
      <c r="D53" s="237">
        <v>15178</v>
      </c>
      <c r="E53" s="237">
        <v>1204</v>
      </c>
    </row>
    <row r="54" spans="1:5" ht="32.1" customHeight="1">
      <c r="A54" s="236" t="s">
        <v>850</v>
      </c>
      <c r="B54" s="237">
        <v>378</v>
      </c>
      <c r="C54" s="237">
        <v>92</v>
      </c>
      <c r="D54" s="237">
        <v>103</v>
      </c>
      <c r="E54" s="237">
        <v>969</v>
      </c>
    </row>
    <row r="55" spans="1:5" ht="32.1" customHeight="1">
      <c r="A55" s="236" t="s">
        <v>663</v>
      </c>
      <c r="B55" s="237">
        <v>59684</v>
      </c>
      <c r="C55" s="237">
        <v>348</v>
      </c>
      <c r="D55" s="237">
        <v>44794</v>
      </c>
      <c r="E55" s="237">
        <v>600</v>
      </c>
    </row>
    <row r="56" spans="1:5" ht="32.1" customHeight="1">
      <c r="A56" s="236" t="s">
        <v>851</v>
      </c>
      <c r="B56" s="237">
        <v>194</v>
      </c>
      <c r="C56" s="237">
        <v>2</v>
      </c>
      <c r="D56" s="237">
        <v>110</v>
      </c>
      <c r="E56" s="237">
        <v>2</v>
      </c>
    </row>
    <row r="57" spans="1:5" ht="32.1" customHeight="1">
      <c r="A57" s="236" t="s">
        <v>784</v>
      </c>
      <c r="B57" s="237">
        <v>0</v>
      </c>
      <c r="C57" s="237">
        <v>357</v>
      </c>
      <c r="D57" s="237">
        <v>0</v>
      </c>
      <c r="E57" s="237">
        <v>24497</v>
      </c>
    </row>
    <row r="58" spans="1:5" ht="32.1" customHeight="1">
      <c r="A58" s="236" t="s">
        <v>664</v>
      </c>
      <c r="B58" s="237">
        <v>0</v>
      </c>
      <c r="C58" s="237">
        <v>131</v>
      </c>
      <c r="D58" s="237">
        <v>0</v>
      </c>
      <c r="E58" s="237">
        <v>2575</v>
      </c>
    </row>
    <row r="59" spans="1:5" ht="32.1" customHeight="1">
      <c r="A59" s="236" t="s">
        <v>665</v>
      </c>
      <c r="B59" s="237">
        <v>271932</v>
      </c>
      <c r="C59" s="237">
        <v>849</v>
      </c>
      <c r="D59" s="237">
        <v>119241</v>
      </c>
      <c r="E59" s="237">
        <v>12749</v>
      </c>
    </row>
    <row r="60" spans="1:5" ht="32.1" customHeight="1">
      <c r="A60" s="236" t="s">
        <v>771</v>
      </c>
      <c r="B60" s="237">
        <v>78814</v>
      </c>
      <c r="C60" s="237">
        <v>2052</v>
      </c>
      <c r="D60" s="237">
        <v>47753</v>
      </c>
      <c r="E60" s="237">
        <v>10520</v>
      </c>
    </row>
    <row r="61" spans="1:5" ht="32.1" customHeight="1">
      <c r="A61" s="236" t="s">
        <v>804</v>
      </c>
      <c r="B61" s="237">
        <v>0</v>
      </c>
      <c r="C61" s="237">
        <v>1</v>
      </c>
      <c r="D61" s="237">
        <v>0</v>
      </c>
      <c r="E61" s="237">
        <v>4</v>
      </c>
    </row>
    <row r="62" spans="1:5" ht="32.1" customHeight="1">
      <c r="A62" s="236" t="s">
        <v>666</v>
      </c>
      <c r="B62" s="237">
        <v>0</v>
      </c>
      <c r="C62" s="237">
        <v>2</v>
      </c>
      <c r="D62" s="237">
        <v>0</v>
      </c>
      <c r="E62" s="237">
        <v>24</v>
      </c>
    </row>
    <row r="63" spans="1:5" ht="32.1" customHeight="1">
      <c r="A63" s="236" t="s">
        <v>817</v>
      </c>
      <c r="B63" s="237">
        <v>60750</v>
      </c>
      <c r="C63" s="237">
        <v>251</v>
      </c>
      <c r="D63" s="237">
        <v>32862</v>
      </c>
      <c r="E63" s="237">
        <v>2353</v>
      </c>
    </row>
    <row r="64" spans="1:5" ht="32.1" customHeight="1">
      <c r="A64" s="236" t="s">
        <v>667</v>
      </c>
      <c r="B64" s="237">
        <v>0</v>
      </c>
      <c r="C64" s="237">
        <v>11</v>
      </c>
      <c r="D64" s="237">
        <v>0</v>
      </c>
      <c r="E64" s="237">
        <v>141</v>
      </c>
    </row>
    <row r="65" spans="1:5" ht="32.1" customHeight="1">
      <c r="A65" s="236" t="s">
        <v>852</v>
      </c>
      <c r="B65" s="237">
        <v>0</v>
      </c>
      <c r="C65" s="237">
        <v>134</v>
      </c>
      <c r="D65" s="237">
        <v>0</v>
      </c>
      <c r="E65" s="237">
        <v>840</v>
      </c>
    </row>
    <row r="66" spans="1:5" ht="32.1" customHeight="1">
      <c r="A66" s="236" t="s">
        <v>818</v>
      </c>
      <c r="B66" s="237">
        <v>0</v>
      </c>
      <c r="C66" s="237">
        <v>1</v>
      </c>
      <c r="D66" s="237">
        <v>0</v>
      </c>
      <c r="E66" s="237">
        <v>0</v>
      </c>
    </row>
    <row r="67" spans="1:5" ht="32.1" customHeight="1">
      <c r="A67" s="236" t="s">
        <v>668</v>
      </c>
      <c r="B67" s="237">
        <v>0</v>
      </c>
      <c r="C67" s="237">
        <v>2335</v>
      </c>
      <c r="D67" s="237">
        <v>0</v>
      </c>
      <c r="E67" s="237">
        <v>59567</v>
      </c>
    </row>
    <row r="68" spans="1:5" ht="32.1" customHeight="1">
      <c r="A68" s="236" t="s">
        <v>786</v>
      </c>
      <c r="B68" s="237">
        <v>19000</v>
      </c>
      <c r="C68" s="237">
        <v>96</v>
      </c>
      <c r="D68" s="237">
        <v>14396</v>
      </c>
      <c r="E68" s="237">
        <v>898</v>
      </c>
    </row>
    <row r="69" spans="1:5" ht="32.1" customHeight="1">
      <c r="A69" s="236" t="s">
        <v>671</v>
      </c>
      <c r="B69" s="237">
        <v>5120</v>
      </c>
      <c r="C69" s="237">
        <v>34</v>
      </c>
      <c r="D69" s="237">
        <v>2192</v>
      </c>
      <c r="E69" s="237">
        <v>25</v>
      </c>
    </row>
    <row r="70" spans="1:5" ht="32.1" customHeight="1">
      <c r="A70" s="236" t="s">
        <v>673</v>
      </c>
      <c r="B70" s="237">
        <v>178440</v>
      </c>
      <c r="C70" s="237">
        <v>633</v>
      </c>
      <c r="D70" s="237">
        <v>85837</v>
      </c>
      <c r="E70" s="237">
        <v>12928</v>
      </c>
    </row>
    <row r="71" spans="1:5" ht="32.1" customHeight="1">
      <c r="A71" s="236" t="s">
        <v>674</v>
      </c>
      <c r="B71" s="237">
        <v>174334</v>
      </c>
      <c r="C71" s="237">
        <v>1103</v>
      </c>
      <c r="D71" s="237">
        <v>87138</v>
      </c>
      <c r="E71" s="237">
        <v>12664</v>
      </c>
    </row>
    <row r="72" spans="1:5" ht="32.1" customHeight="1">
      <c r="A72" s="236" t="s">
        <v>726</v>
      </c>
      <c r="B72" s="237">
        <v>0</v>
      </c>
      <c r="C72" s="237">
        <v>667</v>
      </c>
      <c r="D72" s="237">
        <v>0</v>
      </c>
      <c r="E72" s="237">
        <v>22551</v>
      </c>
    </row>
    <row r="73" spans="1:5" ht="32.1" customHeight="1">
      <c r="A73" s="236" t="s">
        <v>853</v>
      </c>
      <c r="B73" s="237">
        <v>0</v>
      </c>
      <c r="C73" s="237">
        <v>24</v>
      </c>
      <c r="D73" s="237">
        <v>0</v>
      </c>
      <c r="E73" s="237">
        <v>154</v>
      </c>
    </row>
    <row r="74" spans="1:5" ht="32.1" customHeight="1">
      <c r="A74" s="236" t="s">
        <v>676</v>
      </c>
      <c r="B74" s="237">
        <v>27438</v>
      </c>
      <c r="C74" s="237">
        <v>158</v>
      </c>
      <c r="D74" s="237">
        <v>17836</v>
      </c>
      <c r="E74" s="237">
        <v>402</v>
      </c>
    </row>
    <row r="75" spans="1:5" ht="32.1" customHeight="1">
      <c r="A75" s="236" t="s">
        <v>677</v>
      </c>
      <c r="B75" s="237">
        <v>0</v>
      </c>
      <c r="C75" s="237">
        <v>719</v>
      </c>
      <c r="D75" s="237">
        <v>0</v>
      </c>
      <c r="E75" s="237">
        <v>26830</v>
      </c>
    </row>
    <row r="76" spans="1:5" ht="32.1" customHeight="1">
      <c r="A76" s="236" t="s">
        <v>753</v>
      </c>
      <c r="B76" s="237">
        <v>900</v>
      </c>
      <c r="C76" s="237">
        <v>10</v>
      </c>
      <c r="D76" s="237">
        <v>545</v>
      </c>
      <c r="E76" s="237">
        <v>18</v>
      </c>
    </row>
    <row r="77" spans="1:5" ht="32.1" customHeight="1">
      <c r="A77" s="236" t="s">
        <v>679</v>
      </c>
      <c r="B77" s="237">
        <v>38672</v>
      </c>
      <c r="C77" s="237">
        <v>202</v>
      </c>
      <c r="D77" s="237">
        <v>28083</v>
      </c>
      <c r="E77" s="237">
        <v>956</v>
      </c>
    </row>
    <row r="78" spans="1:5" ht="32.1" customHeight="1">
      <c r="A78" s="236" t="s">
        <v>727</v>
      </c>
      <c r="B78" s="237">
        <v>214850</v>
      </c>
      <c r="C78" s="237">
        <v>574</v>
      </c>
      <c r="D78" s="237">
        <v>133871</v>
      </c>
      <c r="E78" s="237">
        <v>5291</v>
      </c>
    </row>
    <row r="79" spans="1:5" ht="32.1" customHeight="1">
      <c r="A79" s="236" t="s">
        <v>728</v>
      </c>
      <c r="B79" s="237">
        <v>0</v>
      </c>
      <c r="C79" s="237">
        <v>510</v>
      </c>
      <c r="D79" s="237">
        <v>0</v>
      </c>
      <c r="E79" s="237">
        <v>16432</v>
      </c>
    </row>
    <row r="80" spans="1:5" ht="32.1" customHeight="1">
      <c r="A80" s="236" t="s">
        <v>681</v>
      </c>
      <c r="B80" s="237">
        <v>176151</v>
      </c>
      <c r="C80" s="237">
        <v>693</v>
      </c>
      <c r="D80" s="237">
        <v>94116</v>
      </c>
      <c r="E80" s="237">
        <v>9903</v>
      </c>
    </row>
    <row r="81" spans="1:5" ht="32.1" customHeight="1">
      <c r="A81" s="236" t="s">
        <v>682</v>
      </c>
      <c r="B81" s="237">
        <v>0</v>
      </c>
      <c r="C81" s="237">
        <v>636</v>
      </c>
      <c r="D81" s="237">
        <v>0</v>
      </c>
      <c r="E81" s="237">
        <v>21819</v>
      </c>
    </row>
    <row r="82" spans="1:5" ht="32.1" customHeight="1">
      <c r="A82" s="236" t="s">
        <v>772</v>
      </c>
      <c r="B82" s="237">
        <v>129185</v>
      </c>
      <c r="C82" s="237">
        <v>790</v>
      </c>
      <c r="D82" s="237">
        <v>28393</v>
      </c>
      <c r="E82" s="237">
        <v>11398</v>
      </c>
    </row>
    <row r="83" spans="1:5" ht="32.1" customHeight="1">
      <c r="A83" s="236" t="s">
        <v>729</v>
      </c>
      <c r="B83" s="237">
        <v>209912</v>
      </c>
      <c r="C83" s="237">
        <v>656</v>
      </c>
      <c r="D83" s="237">
        <v>60449</v>
      </c>
      <c r="E83" s="237">
        <v>12176</v>
      </c>
    </row>
    <row r="84" spans="1:5" ht="32.1" customHeight="1">
      <c r="A84" s="236" t="s">
        <v>854</v>
      </c>
      <c r="B84" s="237">
        <v>500</v>
      </c>
      <c r="C84" s="237">
        <v>4</v>
      </c>
      <c r="D84" s="237">
        <v>420</v>
      </c>
      <c r="E84" s="237">
        <v>23</v>
      </c>
    </row>
    <row r="85" spans="1:5" ht="32.1" customHeight="1">
      <c r="A85" s="236" t="s">
        <v>755</v>
      </c>
      <c r="B85" s="237">
        <v>36416</v>
      </c>
      <c r="C85" s="237">
        <v>300</v>
      </c>
      <c r="D85" s="237">
        <v>25489</v>
      </c>
      <c r="E85" s="237">
        <v>3044</v>
      </c>
    </row>
    <row r="86" spans="1:5" ht="32.1" customHeight="1">
      <c r="A86" s="236" t="s">
        <v>684</v>
      </c>
      <c r="B86" s="237">
        <v>96806</v>
      </c>
      <c r="C86" s="237">
        <v>756</v>
      </c>
      <c r="D86" s="237">
        <v>56093</v>
      </c>
      <c r="E86" s="237">
        <v>744</v>
      </c>
    </row>
    <row r="87" spans="1:5" ht="32.1" customHeight="1">
      <c r="A87" s="236" t="s">
        <v>787</v>
      </c>
      <c r="B87" s="237">
        <v>6034</v>
      </c>
      <c r="C87" s="237">
        <v>62</v>
      </c>
      <c r="D87" s="237">
        <v>4807</v>
      </c>
      <c r="E87" s="237">
        <v>201</v>
      </c>
    </row>
    <row r="88" spans="1:5" ht="32.1" customHeight="1">
      <c r="A88" s="236" t="s">
        <v>685</v>
      </c>
      <c r="B88" s="237">
        <v>43312</v>
      </c>
      <c r="C88" s="237">
        <v>220</v>
      </c>
      <c r="D88" s="237">
        <v>29234</v>
      </c>
      <c r="E88" s="237">
        <v>2374</v>
      </c>
    </row>
    <row r="89" spans="1:5" ht="32.1" customHeight="1">
      <c r="A89" s="236" t="s">
        <v>797</v>
      </c>
      <c r="B89" s="237">
        <v>0</v>
      </c>
      <c r="C89" s="237">
        <v>11</v>
      </c>
      <c r="D89" s="237">
        <v>0</v>
      </c>
      <c r="E89" s="237">
        <v>138</v>
      </c>
    </row>
    <row r="90" spans="1:5" ht="32.1" customHeight="1">
      <c r="A90" s="236" t="s">
        <v>855</v>
      </c>
      <c r="B90" s="237">
        <v>1044</v>
      </c>
      <c r="C90" s="237">
        <v>4</v>
      </c>
      <c r="D90" s="237">
        <v>19</v>
      </c>
      <c r="E90" s="237">
        <v>47</v>
      </c>
    </row>
    <row r="91" spans="1:5" ht="32.1" customHeight="1">
      <c r="A91" s="236" t="s">
        <v>687</v>
      </c>
      <c r="B91" s="237">
        <v>82993</v>
      </c>
      <c r="C91" s="237">
        <v>490</v>
      </c>
      <c r="D91" s="237">
        <v>41319</v>
      </c>
      <c r="E91" s="237">
        <v>6352</v>
      </c>
    </row>
    <row r="92" spans="1:5" ht="32.1" customHeight="1">
      <c r="A92" s="236" t="s">
        <v>688</v>
      </c>
      <c r="B92" s="237">
        <v>8832</v>
      </c>
      <c r="C92" s="237">
        <v>48</v>
      </c>
      <c r="D92" s="237">
        <v>6384</v>
      </c>
      <c r="E92" s="237">
        <v>128</v>
      </c>
    </row>
    <row r="93" spans="1:5" ht="32.1" customHeight="1">
      <c r="A93" s="236" t="s">
        <v>689</v>
      </c>
      <c r="B93" s="237">
        <v>0</v>
      </c>
      <c r="C93" s="237">
        <v>3442</v>
      </c>
      <c r="D93" s="237">
        <v>0</v>
      </c>
      <c r="E93" s="237">
        <v>37726</v>
      </c>
    </row>
    <row r="94" spans="1:5" ht="32.1" customHeight="1">
      <c r="A94" s="236" t="s">
        <v>856</v>
      </c>
      <c r="B94" s="237">
        <v>624</v>
      </c>
      <c r="C94" s="237">
        <v>2</v>
      </c>
      <c r="D94" s="237">
        <v>172</v>
      </c>
      <c r="E94" s="237">
        <v>5</v>
      </c>
    </row>
    <row r="95" spans="1:5" ht="32.1" customHeight="1">
      <c r="A95" s="236" t="s">
        <v>731</v>
      </c>
      <c r="B95" s="237">
        <v>20992</v>
      </c>
      <c r="C95" s="237">
        <v>136</v>
      </c>
      <c r="D95" s="237">
        <v>15074</v>
      </c>
      <c r="E95" s="237">
        <v>1632</v>
      </c>
    </row>
    <row r="96" spans="1:5" ht="32.1" customHeight="1">
      <c r="A96" s="236" t="s">
        <v>692</v>
      </c>
      <c r="B96" s="237">
        <v>150044</v>
      </c>
      <c r="C96" s="237">
        <v>746</v>
      </c>
      <c r="D96" s="237">
        <v>98310</v>
      </c>
      <c r="E96" s="237">
        <v>3867</v>
      </c>
    </row>
    <row r="97" spans="1:5" ht="32.1" customHeight="1">
      <c r="A97" s="236" t="s">
        <v>694</v>
      </c>
      <c r="B97" s="237">
        <v>97396</v>
      </c>
      <c r="C97" s="237">
        <v>407</v>
      </c>
      <c r="D97" s="237">
        <v>57653</v>
      </c>
      <c r="E97" s="237">
        <v>1971</v>
      </c>
    </row>
    <row r="98" spans="1:5" ht="32.1" customHeight="1">
      <c r="A98" s="236" t="s">
        <v>836</v>
      </c>
      <c r="B98" s="237">
        <v>19430</v>
      </c>
      <c r="C98" s="237">
        <v>58</v>
      </c>
      <c r="D98" s="237">
        <v>13722</v>
      </c>
      <c r="E98" s="237">
        <v>296</v>
      </c>
    </row>
    <row r="99" spans="1:5" ht="32.1" customHeight="1">
      <c r="A99" s="236" t="s">
        <v>805</v>
      </c>
      <c r="B99" s="237">
        <v>17702</v>
      </c>
      <c r="C99" s="237">
        <v>98</v>
      </c>
      <c r="D99" s="237">
        <v>12538</v>
      </c>
      <c r="E99" s="237">
        <v>113</v>
      </c>
    </row>
    <row r="100" spans="1:5" ht="32.1" customHeight="1">
      <c r="A100" s="236" t="s">
        <v>696</v>
      </c>
      <c r="B100" s="237">
        <v>259334</v>
      </c>
      <c r="C100" s="237">
        <v>1784</v>
      </c>
      <c r="D100" s="237">
        <v>168349</v>
      </c>
      <c r="E100" s="237">
        <v>11731</v>
      </c>
    </row>
    <row r="101" spans="1:5" ht="32.1" customHeight="1">
      <c r="A101" s="236" t="s">
        <v>776</v>
      </c>
      <c r="B101" s="237">
        <v>29062</v>
      </c>
      <c r="C101" s="237">
        <v>184</v>
      </c>
      <c r="D101" s="237">
        <v>22365</v>
      </c>
      <c r="E101" s="237">
        <v>332</v>
      </c>
    </row>
    <row r="102" spans="1:5" ht="32.1" customHeight="1">
      <c r="A102" s="236" t="s">
        <v>697</v>
      </c>
      <c r="B102" s="237">
        <v>385530</v>
      </c>
      <c r="C102" s="237">
        <v>2283</v>
      </c>
      <c r="D102" s="237">
        <v>246105</v>
      </c>
      <c r="E102" s="237">
        <v>7660</v>
      </c>
    </row>
    <row r="103" spans="1:5" ht="32.1" customHeight="1">
      <c r="A103" s="236" t="s">
        <v>698</v>
      </c>
      <c r="B103" s="237">
        <v>378476</v>
      </c>
      <c r="C103" s="237">
        <v>2272</v>
      </c>
      <c r="D103" s="237">
        <v>241245</v>
      </c>
      <c r="E103" s="237">
        <v>7969</v>
      </c>
    </row>
    <row r="104" spans="1:5" ht="32.1" customHeight="1">
      <c r="A104" s="236" t="s">
        <v>837</v>
      </c>
      <c r="B104" s="237">
        <v>4080</v>
      </c>
      <c r="C104" s="237">
        <v>24</v>
      </c>
      <c r="D104" s="237">
        <v>2317</v>
      </c>
      <c r="E104" s="237">
        <v>23</v>
      </c>
    </row>
    <row r="105" spans="1:5" ht="32.1" customHeight="1">
      <c r="A105" s="236" t="s">
        <v>777</v>
      </c>
      <c r="B105" s="237">
        <v>0</v>
      </c>
      <c r="C105" s="237">
        <v>12</v>
      </c>
      <c r="D105" s="237">
        <v>0</v>
      </c>
      <c r="E105" s="237">
        <v>177</v>
      </c>
    </row>
    <row r="106" spans="1:5" ht="32.1" customHeight="1">
      <c r="A106" s="236" t="s">
        <v>699</v>
      </c>
      <c r="B106" s="237">
        <v>33606</v>
      </c>
      <c r="C106" s="237">
        <v>202</v>
      </c>
      <c r="D106" s="237">
        <v>21045</v>
      </c>
      <c r="E106" s="237">
        <v>503</v>
      </c>
    </row>
    <row r="107" spans="1:5" ht="32.1" customHeight="1">
      <c r="A107" s="236" t="s">
        <v>700</v>
      </c>
      <c r="B107" s="237">
        <v>0</v>
      </c>
      <c r="C107" s="237">
        <v>430</v>
      </c>
      <c r="D107" s="237">
        <v>0</v>
      </c>
      <c r="E107" s="237">
        <v>4370</v>
      </c>
    </row>
    <row r="108" spans="1:5" ht="32.1" customHeight="1">
      <c r="A108" s="236" t="s">
        <v>701</v>
      </c>
      <c r="B108" s="237">
        <v>46730</v>
      </c>
      <c r="C108" s="237">
        <v>211</v>
      </c>
      <c r="D108" s="237">
        <v>26409</v>
      </c>
      <c r="E108" s="237">
        <v>1150</v>
      </c>
    </row>
    <row r="109" spans="1:5" ht="32.1" customHeight="1">
      <c r="A109" s="236" t="s">
        <v>702</v>
      </c>
      <c r="B109" s="237">
        <v>0</v>
      </c>
      <c r="C109" s="237">
        <v>542</v>
      </c>
      <c r="D109" s="237">
        <v>0</v>
      </c>
      <c r="E109" s="237">
        <v>36616</v>
      </c>
    </row>
    <row r="110" spans="1:5" ht="32.1" customHeight="1">
      <c r="A110" s="236" t="s">
        <v>703</v>
      </c>
      <c r="B110" s="237">
        <v>199558</v>
      </c>
      <c r="C110" s="237">
        <v>1557</v>
      </c>
      <c r="D110" s="237">
        <v>118980</v>
      </c>
      <c r="E110" s="237">
        <v>17347</v>
      </c>
    </row>
    <row r="111" spans="1:5" ht="32.1" customHeight="1">
      <c r="A111" s="236" t="s">
        <v>857</v>
      </c>
      <c r="B111" s="237">
        <v>615</v>
      </c>
      <c r="C111" s="237">
        <v>4</v>
      </c>
      <c r="D111" s="237">
        <v>364</v>
      </c>
      <c r="E111" s="237">
        <v>10</v>
      </c>
    </row>
    <row r="112" spans="1:5" ht="32.1" customHeight="1">
      <c r="A112" s="236" t="s">
        <v>757</v>
      </c>
      <c r="B112" s="237">
        <v>15972</v>
      </c>
      <c r="C112" s="237">
        <v>88</v>
      </c>
      <c r="D112" s="237">
        <v>11876</v>
      </c>
      <c r="E112" s="237">
        <v>140</v>
      </c>
    </row>
    <row r="113" spans="1:5" ht="32.1" customHeight="1">
      <c r="A113" s="236" t="s">
        <v>778</v>
      </c>
      <c r="B113" s="237">
        <v>18216</v>
      </c>
      <c r="C113" s="237">
        <v>66</v>
      </c>
      <c r="D113" s="237">
        <v>13436</v>
      </c>
      <c r="E113" s="237">
        <v>788</v>
      </c>
    </row>
    <row r="114" spans="1:5" ht="32.1" customHeight="1">
      <c r="A114" s="236" t="s">
        <v>779</v>
      </c>
      <c r="B114" s="237">
        <v>152666</v>
      </c>
      <c r="C114" s="237">
        <v>854</v>
      </c>
      <c r="D114" s="237">
        <v>111925</v>
      </c>
      <c r="E114" s="237">
        <v>1158</v>
      </c>
    </row>
    <row r="115" spans="1:5" ht="32.1" customHeight="1">
      <c r="A115" s="236" t="s">
        <v>858</v>
      </c>
      <c r="B115" s="237">
        <v>189</v>
      </c>
      <c r="C115" s="237">
        <v>2</v>
      </c>
      <c r="D115" s="237">
        <v>136</v>
      </c>
      <c r="E115" s="237">
        <v>4</v>
      </c>
    </row>
    <row r="116" spans="1:5" ht="32.1" customHeight="1">
      <c r="A116" s="236" t="s">
        <v>827</v>
      </c>
      <c r="B116" s="237">
        <v>44448</v>
      </c>
      <c r="C116" s="237">
        <v>276</v>
      </c>
      <c r="D116" s="237">
        <v>27706</v>
      </c>
      <c r="E116" s="237">
        <v>673</v>
      </c>
    </row>
    <row r="117" spans="1:5" ht="32.1" customHeight="1">
      <c r="A117" s="236" t="s">
        <v>839</v>
      </c>
      <c r="B117" s="237">
        <v>0</v>
      </c>
      <c r="C117" s="237">
        <v>16</v>
      </c>
      <c r="D117" s="237">
        <v>0</v>
      </c>
      <c r="E117" s="237">
        <v>524</v>
      </c>
    </row>
    <row r="118" spans="1:5" ht="32.1" customHeight="1">
      <c r="A118" s="236" t="s">
        <v>704</v>
      </c>
      <c r="B118" s="237">
        <v>0</v>
      </c>
      <c r="C118" s="237">
        <v>308</v>
      </c>
      <c r="D118" s="237">
        <v>0</v>
      </c>
      <c r="E118" s="237">
        <v>17598</v>
      </c>
    </row>
    <row r="119" spans="1:5" ht="32.1" customHeight="1">
      <c r="A119" s="236" t="s">
        <v>705</v>
      </c>
      <c r="B119" s="237">
        <v>275849</v>
      </c>
      <c r="C119" s="237">
        <v>1183</v>
      </c>
      <c r="D119" s="237">
        <v>88571</v>
      </c>
      <c r="E119" s="237">
        <v>55190</v>
      </c>
    </row>
    <row r="120" spans="1:5" ht="32.1" customHeight="1">
      <c r="A120" s="236" t="s">
        <v>706</v>
      </c>
      <c r="B120" s="237">
        <v>150</v>
      </c>
      <c r="C120" s="237">
        <v>1495</v>
      </c>
      <c r="D120" s="237">
        <v>123</v>
      </c>
      <c r="E120" s="237">
        <v>3963</v>
      </c>
    </row>
    <row r="121" spans="1:5" ht="32.1" customHeight="1">
      <c r="A121" s="236" t="s">
        <v>707</v>
      </c>
      <c r="B121" s="237">
        <v>149034</v>
      </c>
      <c r="C121" s="237">
        <v>888</v>
      </c>
      <c r="D121" s="237">
        <v>108428</v>
      </c>
      <c r="E121" s="237">
        <v>16520</v>
      </c>
    </row>
    <row r="122" spans="1:5" ht="32.1" customHeight="1">
      <c r="A122" s="236" t="s">
        <v>708</v>
      </c>
      <c r="B122" s="237">
        <v>18710</v>
      </c>
      <c r="C122" s="237">
        <v>110</v>
      </c>
      <c r="D122" s="237">
        <v>11144</v>
      </c>
      <c r="E122" s="237">
        <v>211</v>
      </c>
    </row>
    <row r="123" spans="1:5" ht="32.1" customHeight="1">
      <c r="A123" s="236" t="s">
        <v>859</v>
      </c>
      <c r="B123" s="237">
        <v>600</v>
      </c>
      <c r="C123" s="237">
        <v>2</v>
      </c>
      <c r="D123" s="237">
        <v>332</v>
      </c>
      <c r="E123" s="237">
        <v>10</v>
      </c>
    </row>
    <row r="124" spans="1:5" ht="32.1" customHeight="1">
      <c r="A124" s="236" t="s">
        <v>807</v>
      </c>
      <c r="B124" s="237">
        <v>39960</v>
      </c>
      <c r="C124" s="237">
        <v>226</v>
      </c>
      <c r="D124" s="237">
        <v>26310</v>
      </c>
      <c r="E124" s="237">
        <v>258</v>
      </c>
    </row>
    <row r="125" spans="1:5" ht="32.1" customHeight="1">
      <c r="A125" s="236" t="s">
        <v>788</v>
      </c>
      <c r="B125" s="237">
        <v>152619</v>
      </c>
      <c r="C125" s="237">
        <v>409</v>
      </c>
      <c r="D125" s="237">
        <v>98287</v>
      </c>
      <c r="E125" s="237">
        <v>2863</v>
      </c>
    </row>
    <row r="126" spans="1:5" ht="32.1" customHeight="1">
      <c r="A126" s="236" t="s">
        <v>709</v>
      </c>
      <c r="B126" s="237">
        <v>247588</v>
      </c>
      <c r="C126" s="237">
        <v>837</v>
      </c>
      <c r="D126" s="237">
        <v>159036</v>
      </c>
      <c r="E126" s="237">
        <v>13271</v>
      </c>
    </row>
    <row r="127" spans="1:5" ht="32.1" customHeight="1">
      <c r="A127" s="236" t="s">
        <v>860</v>
      </c>
      <c r="B127" s="237">
        <v>432</v>
      </c>
      <c r="C127" s="237">
        <v>2</v>
      </c>
      <c r="D127" s="237">
        <v>186</v>
      </c>
      <c r="E127" s="237">
        <v>7</v>
      </c>
    </row>
    <row r="128" spans="1:5" ht="32.1" customHeight="1">
      <c r="A128" s="236" t="s">
        <v>710</v>
      </c>
      <c r="B128" s="237">
        <v>114914</v>
      </c>
      <c r="C128" s="237">
        <v>576</v>
      </c>
      <c r="D128" s="237">
        <v>67130</v>
      </c>
      <c r="E128" s="237">
        <v>21639</v>
      </c>
    </row>
    <row r="129" spans="1:5" ht="32.1" customHeight="1">
      <c r="A129" s="236" t="s">
        <v>861</v>
      </c>
      <c r="B129" s="237">
        <v>0</v>
      </c>
      <c r="C129" s="237">
        <v>292</v>
      </c>
      <c r="D129" s="237">
        <v>0</v>
      </c>
      <c r="E129" s="237">
        <v>2732</v>
      </c>
    </row>
    <row r="130" spans="1:5" ht="32.1" customHeight="1">
      <c r="A130" s="236" t="s">
        <v>862</v>
      </c>
      <c r="B130" s="237">
        <v>620</v>
      </c>
      <c r="C130" s="237">
        <v>2</v>
      </c>
      <c r="D130" s="237">
        <v>284</v>
      </c>
      <c r="E130" s="237">
        <v>3</v>
      </c>
    </row>
    <row r="131" spans="1:5" ht="32.1" customHeight="1">
      <c r="A131" s="236" t="s">
        <v>808</v>
      </c>
      <c r="B131" s="237">
        <v>80280</v>
      </c>
      <c r="C131" s="237">
        <v>446</v>
      </c>
      <c r="D131" s="237">
        <v>57991</v>
      </c>
      <c r="E131" s="237">
        <v>610</v>
      </c>
    </row>
    <row r="132" spans="1:5" ht="32.1" customHeight="1">
      <c r="A132" s="236" t="s">
        <v>712</v>
      </c>
      <c r="B132" s="237">
        <v>0</v>
      </c>
      <c r="C132" s="237">
        <v>2943</v>
      </c>
      <c r="D132" s="237">
        <v>0</v>
      </c>
      <c r="E132" s="237">
        <v>59283</v>
      </c>
    </row>
    <row r="133" spans="1:5" ht="32.1" customHeight="1">
      <c r="A133" s="236" t="s">
        <v>863</v>
      </c>
      <c r="B133" s="237">
        <v>0</v>
      </c>
      <c r="C133" s="237">
        <v>3</v>
      </c>
      <c r="D133" s="237">
        <v>0</v>
      </c>
      <c r="E133" s="237">
        <v>30</v>
      </c>
    </row>
    <row r="134" spans="1:5" ht="32.1" customHeight="1">
      <c r="A134" s="236" t="s">
        <v>713</v>
      </c>
      <c r="B134" s="237">
        <v>0</v>
      </c>
      <c r="C134" s="237">
        <v>3421</v>
      </c>
      <c r="D134" s="237">
        <v>0</v>
      </c>
      <c r="E134" s="237">
        <v>95615</v>
      </c>
    </row>
    <row r="135" spans="1:5" ht="32.1" customHeight="1">
      <c r="A135" s="236" t="s">
        <v>809</v>
      </c>
      <c r="B135" s="237">
        <v>102900</v>
      </c>
      <c r="C135" s="237">
        <v>414</v>
      </c>
      <c r="D135" s="237">
        <v>58452</v>
      </c>
      <c r="E135" s="237">
        <v>5138</v>
      </c>
    </row>
    <row r="136" spans="1:5" ht="32.1" customHeight="1">
      <c r="A136" s="236" t="s">
        <v>715</v>
      </c>
      <c r="B136" s="237">
        <v>104643</v>
      </c>
      <c r="C136" s="237">
        <v>297</v>
      </c>
      <c r="D136" s="237">
        <v>44795</v>
      </c>
      <c r="E136" s="237">
        <v>6682</v>
      </c>
    </row>
    <row r="137" spans="1:5" ht="32.1" customHeight="1">
      <c r="A137" s="236" t="s">
        <v>759</v>
      </c>
      <c r="B137" s="237">
        <v>128520</v>
      </c>
      <c r="C137" s="237">
        <v>714</v>
      </c>
      <c r="D137" s="237">
        <v>85034</v>
      </c>
      <c r="E137" s="237">
        <v>573</v>
      </c>
    </row>
    <row r="138" spans="1:5" ht="32.1" customHeight="1">
      <c r="A138" s="236" t="s">
        <v>716</v>
      </c>
      <c r="B138" s="237">
        <v>95110</v>
      </c>
      <c r="C138" s="237">
        <v>439</v>
      </c>
      <c r="D138" s="237">
        <v>41456</v>
      </c>
      <c r="E138" s="237">
        <v>9510</v>
      </c>
    </row>
    <row r="139" spans="1:5" ht="32.1" customHeight="1">
      <c r="A139" s="236" t="s">
        <v>822</v>
      </c>
      <c r="B139" s="237">
        <v>160956</v>
      </c>
      <c r="C139" s="237">
        <v>896</v>
      </c>
      <c r="D139" s="237">
        <v>112616</v>
      </c>
      <c r="E139" s="237">
        <v>1181</v>
      </c>
    </row>
    <row r="140" spans="1:5" ht="32.1" customHeight="1">
      <c r="A140" s="236" t="s">
        <v>718</v>
      </c>
      <c r="B140" s="237">
        <v>155612</v>
      </c>
      <c r="C140" s="237">
        <v>754</v>
      </c>
      <c r="D140" s="237">
        <v>105890</v>
      </c>
      <c r="E140" s="237">
        <v>3358</v>
      </c>
    </row>
    <row r="141" spans="1:5" ht="32.1" customHeight="1">
      <c r="A141" s="236" t="s">
        <v>745</v>
      </c>
      <c r="B141" s="237">
        <v>29646</v>
      </c>
      <c r="C141" s="237">
        <v>405</v>
      </c>
      <c r="D141" s="237">
        <v>21688</v>
      </c>
      <c r="E141" s="237">
        <v>4513</v>
      </c>
    </row>
    <row r="142" spans="1:5" ht="32.1" customHeight="1">
      <c r="A142" s="236" t="s">
        <v>864</v>
      </c>
      <c r="B142" s="237">
        <v>669</v>
      </c>
      <c r="C142" s="237">
        <v>8</v>
      </c>
      <c r="D142" s="237">
        <v>391</v>
      </c>
      <c r="E142" s="237">
        <v>11</v>
      </c>
    </row>
    <row r="143" spans="1:5" ht="32.1" customHeight="1">
      <c r="A143" s="236" t="s">
        <v>733</v>
      </c>
      <c r="B143" s="237">
        <v>0</v>
      </c>
      <c r="C143" s="237">
        <v>106</v>
      </c>
      <c r="D143" s="237">
        <v>0</v>
      </c>
      <c r="E143" s="237">
        <v>290</v>
      </c>
    </row>
    <row r="144" spans="1:5" ht="32.1" customHeight="1">
      <c r="A144" s="236" t="s">
        <v>720</v>
      </c>
      <c r="B144" s="237">
        <v>64072</v>
      </c>
      <c r="C144" s="237">
        <v>312</v>
      </c>
      <c r="D144" s="237">
        <v>48116</v>
      </c>
      <c r="E144" s="237">
        <v>721</v>
      </c>
    </row>
    <row r="145" spans="1:5" ht="32.1" customHeight="1">
      <c r="A145" s="236" t="s">
        <v>789</v>
      </c>
      <c r="B145" s="237">
        <v>24828</v>
      </c>
      <c r="C145" s="237">
        <v>102</v>
      </c>
      <c r="D145" s="237">
        <v>17037</v>
      </c>
      <c r="E145" s="237">
        <v>635</v>
      </c>
    </row>
    <row r="146" spans="1:5" ht="32.1" customHeight="1">
      <c r="A146" s="236" t="s">
        <v>865</v>
      </c>
      <c r="B146" s="237">
        <v>0</v>
      </c>
      <c r="C146" s="237">
        <v>2</v>
      </c>
      <c r="D146" s="237">
        <v>0</v>
      </c>
      <c r="E146" s="237">
        <v>45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714C2-0B26-4673-856C-281909BC70DE}">
  <dimension ref="A1:E124"/>
  <sheetViews>
    <sheetView workbookViewId="0">
      <selection sqref="A1:E1"/>
    </sheetView>
  </sheetViews>
  <sheetFormatPr defaultColWidth="9" defaultRowHeight="16.5"/>
  <cols>
    <col min="1" max="1" width="48.5" style="14" customWidth="1"/>
    <col min="2" max="3" width="28.375" style="14" customWidth="1"/>
    <col min="4" max="5" width="28.5" style="14" customWidth="1"/>
    <col min="6" max="16384" width="9" style="14"/>
  </cols>
  <sheetData>
    <row r="1" spans="1:5" ht="33.950000000000003" customHeight="1">
      <c r="A1" s="435" t="s">
        <v>866</v>
      </c>
      <c r="B1" s="436"/>
      <c r="C1" s="436"/>
      <c r="D1" s="436"/>
      <c r="E1" s="436"/>
    </row>
    <row r="2" spans="1:5" ht="36.950000000000003" customHeight="1">
      <c r="A2" s="235" t="s">
        <v>624</v>
      </c>
      <c r="B2" s="235" t="s">
        <v>625</v>
      </c>
      <c r="C2" s="235" t="s">
        <v>626</v>
      </c>
      <c r="D2" s="235" t="s">
        <v>340</v>
      </c>
      <c r="E2" s="235" t="s">
        <v>342</v>
      </c>
    </row>
    <row r="3" spans="1:5" ht="32.1" customHeight="1">
      <c r="A3" s="236" t="s">
        <v>627</v>
      </c>
      <c r="B3" s="237">
        <v>32514689</v>
      </c>
      <c r="C3" s="237">
        <v>221916</v>
      </c>
      <c r="D3" s="237">
        <v>23096692</v>
      </c>
      <c r="E3" s="237">
        <v>2362615</v>
      </c>
    </row>
    <row r="4" spans="1:5" ht="32.1" customHeight="1">
      <c r="A4" s="236" t="s">
        <v>628</v>
      </c>
      <c r="B4" s="237">
        <v>30014803</v>
      </c>
      <c r="C4" s="237">
        <v>183569</v>
      </c>
      <c r="D4" s="237">
        <v>22359540</v>
      </c>
      <c r="E4" s="237">
        <v>1674325</v>
      </c>
    </row>
    <row r="5" spans="1:5" ht="32.1" customHeight="1">
      <c r="A5" s="236" t="s">
        <v>629</v>
      </c>
      <c r="B5" s="237">
        <v>6142104</v>
      </c>
      <c r="C5" s="237">
        <v>51313</v>
      </c>
      <c r="D5" s="237">
        <v>3560170</v>
      </c>
      <c r="E5" s="237">
        <v>1091951</v>
      </c>
    </row>
    <row r="6" spans="1:5" ht="32.1" customHeight="1">
      <c r="A6" s="236" t="s">
        <v>630</v>
      </c>
      <c r="B6" s="237">
        <v>5190734</v>
      </c>
      <c r="C6" s="237">
        <v>32859</v>
      </c>
      <c r="D6" s="237">
        <v>3254915</v>
      </c>
      <c r="E6" s="237">
        <v>500834</v>
      </c>
    </row>
    <row r="7" spans="1:5" ht="32.1" customHeight="1">
      <c r="A7" s="236" t="s">
        <v>631</v>
      </c>
      <c r="B7" s="237">
        <v>4803057</v>
      </c>
      <c r="C7" s="237">
        <v>25697</v>
      </c>
      <c r="D7" s="237">
        <v>4240990</v>
      </c>
      <c r="E7" s="237">
        <v>17171</v>
      </c>
    </row>
    <row r="8" spans="1:5" ht="32.1" customHeight="1">
      <c r="A8" s="236" t="s">
        <v>632</v>
      </c>
      <c r="B8" s="237">
        <v>4834251</v>
      </c>
      <c r="C8" s="237">
        <v>25504</v>
      </c>
      <c r="D8" s="237">
        <v>3804565</v>
      </c>
      <c r="E8" s="237">
        <v>18240</v>
      </c>
    </row>
    <row r="9" spans="1:5" ht="32.1" customHeight="1">
      <c r="A9" s="236" t="s">
        <v>633</v>
      </c>
      <c r="B9" s="237">
        <v>3737532</v>
      </c>
      <c r="C9" s="237">
        <v>18972</v>
      </c>
      <c r="D9" s="237">
        <v>2942753</v>
      </c>
      <c r="E9" s="237">
        <v>13909</v>
      </c>
    </row>
    <row r="10" spans="1:5" ht="32.1" customHeight="1">
      <c r="A10" s="236" t="s">
        <v>722</v>
      </c>
      <c r="B10" s="237">
        <v>3809484</v>
      </c>
      <c r="C10" s="237">
        <v>20503</v>
      </c>
      <c r="D10" s="237">
        <v>3342086</v>
      </c>
      <c r="E10" s="237">
        <v>15917</v>
      </c>
    </row>
    <row r="11" spans="1:5" ht="32.1" customHeight="1">
      <c r="A11" s="236" t="s">
        <v>762</v>
      </c>
      <c r="B11" s="237">
        <v>0</v>
      </c>
      <c r="C11" s="237">
        <v>1239</v>
      </c>
      <c r="D11" s="237">
        <v>0</v>
      </c>
      <c r="E11" s="237">
        <v>12205</v>
      </c>
    </row>
    <row r="12" spans="1:5" ht="32.1" customHeight="1">
      <c r="A12" s="236" t="s">
        <v>800</v>
      </c>
      <c r="B12" s="237">
        <v>1186025</v>
      </c>
      <c r="C12" s="237">
        <v>5835</v>
      </c>
      <c r="D12" s="237">
        <v>1084483</v>
      </c>
      <c r="E12" s="237">
        <v>3428</v>
      </c>
    </row>
    <row r="13" spans="1:5" ht="32.1" customHeight="1">
      <c r="A13" s="236" t="s">
        <v>829</v>
      </c>
      <c r="B13" s="237">
        <v>138318</v>
      </c>
      <c r="C13" s="237">
        <v>743</v>
      </c>
      <c r="D13" s="237">
        <v>64659</v>
      </c>
      <c r="E13" s="237">
        <v>369</v>
      </c>
    </row>
    <row r="14" spans="1:5" ht="32.1" customHeight="1">
      <c r="A14" s="236" t="s">
        <v>867</v>
      </c>
      <c r="B14" s="237">
        <v>147960</v>
      </c>
      <c r="C14" s="237">
        <v>822</v>
      </c>
      <c r="D14" s="237">
        <v>46934</v>
      </c>
      <c r="E14" s="237">
        <v>235</v>
      </c>
    </row>
    <row r="15" spans="1:5" ht="32.1" customHeight="1">
      <c r="A15" s="236" t="s">
        <v>868</v>
      </c>
      <c r="B15" s="237">
        <v>25338</v>
      </c>
      <c r="C15" s="237">
        <v>82</v>
      </c>
      <c r="D15" s="237">
        <v>17985</v>
      </c>
      <c r="E15" s="237">
        <v>66</v>
      </c>
    </row>
    <row r="16" spans="1:5" ht="32.1" customHeight="1">
      <c r="A16" s="236" t="s">
        <v>635</v>
      </c>
      <c r="B16" s="237">
        <v>2499886</v>
      </c>
      <c r="C16" s="237">
        <v>38347</v>
      </c>
      <c r="D16" s="237">
        <v>737152</v>
      </c>
      <c r="E16" s="237">
        <v>688289</v>
      </c>
    </row>
    <row r="17" spans="1:5" ht="32.1" customHeight="1">
      <c r="A17" s="236" t="s">
        <v>869</v>
      </c>
      <c r="B17" s="237">
        <v>0</v>
      </c>
      <c r="C17" s="237">
        <v>2</v>
      </c>
      <c r="D17" s="237">
        <v>0</v>
      </c>
      <c r="E17" s="237">
        <v>10</v>
      </c>
    </row>
    <row r="18" spans="1:5" ht="32.1" customHeight="1">
      <c r="A18" s="236" t="s">
        <v>870</v>
      </c>
      <c r="B18" s="237">
        <v>0</v>
      </c>
      <c r="C18" s="237">
        <v>16</v>
      </c>
      <c r="D18" s="237">
        <v>0</v>
      </c>
      <c r="E18" s="237">
        <v>51</v>
      </c>
    </row>
    <row r="19" spans="1:5" ht="32.1" customHeight="1">
      <c r="A19" s="236" t="s">
        <v>842</v>
      </c>
      <c r="B19" s="237">
        <v>0</v>
      </c>
      <c r="C19" s="237">
        <v>2</v>
      </c>
      <c r="D19" s="237">
        <v>0</v>
      </c>
      <c r="E19" s="237">
        <v>32</v>
      </c>
    </row>
    <row r="20" spans="1:5" ht="32.1" customHeight="1">
      <c r="A20" s="236" t="s">
        <v>871</v>
      </c>
      <c r="B20" s="237">
        <v>0</v>
      </c>
      <c r="C20" s="237">
        <v>2</v>
      </c>
      <c r="D20" s="237">
        <v>0</v>
      </c>
      <c r="E20" s="237">
        <v>26</v>
      </c>
    </row>
    <row r="21" spans="1:5" ht="32.1" customHeight="1">
      <c r="A21" s="236" t="s">
        <v>830</v>
      </c>
      <c r="B21" s="237">
        <v>0</v>
      </c>
      <c r="C21" s="237">
        <v>434</v>
      </c>
      <c r="D21" s="237">
        <v>0</v>
      </c>
      <c r="E21" s="237">
        <v>3571</v>
      </c>
    </row>
    <row r="22" spans="1:5" ht="32.1" customHeight="1">
      <c r="A22" s="236" t="s">
        <v>638</v>
      </c>
      <c r="B22" s="237">
        <v>39346</v>
      </c>
      <c r="C22" s="237">
        <v>202</v>
      </c>
      <c r="D22" s="237">
        <v>9598</v>
      </c>
      <c r="E22" s="237">
        <v>3947</v>
      </c>
    </row>
    <row r="23" spans="1:5" ht="32.1" customHeight="1">
      <c r="A23" s="236" t="s">
        <v>801</v>
      </c>
      <c r="B23" s="237">
        <v>0</v>
      </c>
      <c r="C23" s="237">
        <v>75</v>
      </c>
      <c r="D23" s="237">
        <v>0</v>
      </c>
      <c r="E23" s="237">
        <v>2282</v>
      </c>
    </row>
    <row r="24" spans="1:5" ht="32.1" customHeight="1">
      <c r="A24" s="236" t="s">
        <v>641</v>
      </c>
      <c r="B24" s="237">
        <v>127940</v>
      </c>
      <c r="C24" s="237">
        <v>345</v>
      </c>
      <c r="D24" s="237">
        <v>27526</v>
      </c>
      <c r="E24" s="237">
        <v>8702</v>
      </c>
    </row>
    <row r="25" spans="1:5" ht="32.1" customHeight="1">
      <c r="A25" s="236" t="s">
        <v>831</v>
      </c>
      <c r="B25" s="237">
        <v>4832</v>
      </c>
      <c r="C25" s="237">
        <v>70</v>
      </c>
      <c r="D25" s="237">
        <v>662</v>
      </c>
      <c r="E25" s="237">
        <v>1012</v>
      </c>
    </row>
    <row r="26" spans="1:5" ht="32.1" customHeight="1">
      <c r="A26" s="236" t="s">
        <v>643</v>
      </c>
      <c r="B26" s="237">
        <v>311119</v>
      </c>
      <c r="C26" s="237">
        <v>1041</v>
      </c>
      <c r="D26" s="237">
        <v>81638</v>
      </c>
      <c r="E26" s="237">
        <v>12789</v>
      </c>
    </row>
    <row r="27" spans="1:5" ht="32.1" customHeight="1">
      <c r="A27" s="236" t="s">
        <v>811</v>
      </c>
      <c r="B27" s="237">
        <v>0</v>
      </c>
      <c r="C27" s="237">
        <v>2</v>
      </c>
      <c r="D27" s="237">
        <v>0</v>
      </c>
      <c r="E27" s="237">
        <v>71</v>
      </c>
    </row>
    <row r="28" spans="1:5" ht="32.1" customHeight="1">
      <c r="A28" s="236" t="s">
        <v>765</v>
      </c>
      <c r="B28" s="237">
        <v>3266</v>
      </c>
      <c r="C28" s="237">
        <v>24</v>
      </c>
      <c r="D28" s="237">
        <v>2300</v>
      </c>
      <c r="E28" s="237">
        <v>78</v>
      </c>
    </row>
    <row r="29" spans="1:5" ht="32.1" customHeight="1">
      <c r="A29" s="236" t="s">
        <v>872</v>
      </c>
      <c r="B29" s="237">
        <v>0</v>
      </c>
      <c r="C29" s="237">
        <v>2</v>
      </c>
      <c r="D29" s="237">
        <v>0</v>
      </c>
      <c r="E29" s="237">
        <v>4</v>
      </c>
    </row>
    <row r="30" spans="1:5" ht="32.1" customHeight="1">
      <c r="A30" s="236" t="s">
        <v>832</v>
      </c>
      <c r="B30" s="237">
        <v>0</v>
      </c>
      <c r="C30" s="237">
        <v>2</v>
      </c>
      <c r="D30" s="237">
        <v>0</v>
      </c>
      <c r="E30" s="237">
        <v>52</v>
      </c>
    </row>
    <row r="31" spans="1:5" ht="32.1" customHeight="1">
      <c r="A31" s="236" t="s">
        <v>645</v>
      </c>
      <c r="B31" s="237">
        <v>21372</v>
      </c>
      <c r="C31" s="237">
        <v>69</v>
      </c>
      <c r="D31" s="237">
        <v>12239</v>
      </c>
      <c r="E31" s="237">
        <v>1037</v>
      </c>
    </row>
    <row r="32" spans="1:5" ht="32.1" customHeight="1">
      <c r="A32" s="236" t="s">
        <v>845</v>
      </c>
      <c r="B32" s="237">
        <v>0</v>
      </c>
      <c r="C32" s="237">
        <v>6</v>
      </c>
      <c r="D32" s="237">
        <v>0</v>
      </c>
      <c r="E32" s="237">
        <v>203</v>
      </c>
    </row>
    <row r="33" spans="1:5" ht="32.1" customHeight="1">
      <c r="A33" s="236" t="s">
        <v>646</v>
      </c>
      <c r="B33" s="237">
        <v>85849</v>
      </c>
      <c r="C33" s="237">
        <v>293</v>
      </c>
      <c r="D33" s="237">
        <v>29658</v>
      </c>
      <c r="E33" s="237">
        <v>4796</v>
      </c>
    </row>
    <row r="34" spans="1:5" ht="32.1" customHeight="1">
      <c r="A34" s="236" t="s">
        <v>647</v>
      </c>
      <c r="B34" s="237">
        <v>0</v>
      </c>
      <c r="C34" s="237">
        <v>931</v>
      </c>
      <c r="D34" s="237">
        <v>0</v>
      </c>
      <c r="E34" s="237">
        <v>10486</v>
      </c>
    </row>
    <row r="35" spans="1:5" ht="32.1" customHeight="1">
      <c r="A35" s="236" t="s">
        <v>824</v>
      </c>
      <c r="B35" s="237">
        <v>0</v>
      </c>
      <c r="C35" s="237">
        <v>138</v>
      </c>
      <c r="D35" s="237">
        <v>0</v>
      </c>
      <c r="E35" s="237">
        <v>557</v>
      </c>
    </row>
    <row r="36" spans="1:5" ht="32.1" customHeight="1">
      <c r="A36" s="236" t="s">
        <v>873</v>
      </c>
      <c r="B36" s="237">
        <v>0</v>
      </c>
      <c r="C36" s="237">
        <v>1</v>
      </c>
      <c r="D36" s="237">
        <v>0</v>
      </c>
      <c r="E36" s="237">
        <v>33</v>
      </c>
    </row>
    <row r="37" spans="1:5" ht="32.1" customHeight="1">
      <c r="A37" s="236" t="s">
        <v>649</v>
      </c>
      <c r="B37" s="237">
        <v>0</v>
      </c>
      <c r="C37" s="237">
        <v>418</v>
      </c>
      <c r="D37" s="237">
        <v>0</v>
      </c>
      <c r="E37" s="237">
        <v>7582</v>
      </c>
    </row>
    <row r="38" spans="1:5" ht="32.1" customHeight="1">
      <c r="A38" s="236" t="s">
        <v>737</v>
      </c>
      <c r="B38" s="237">
        <v>0</v>
      </c>
      <c r="C38" s="237">
        <v>2</v>
      </c>
      <c r="D38" s="237">
        <v>0</v>
      </c>
      <c r="E38" s="237">
        <v>26</v>
      </c>
    </row>
    <row r="39" spans="1:5" ht="32.1" customHeight="1">
      <c r="A39" s="236" t="s">
        <v>650</v>
      </c>
      <c r="B39" s="237">
        <v>18106</v>
      </c>
      <c r="C39" s="237">
        <v>210</v>
      </c>
      <c r="D39" s="237">
        <v>13805</v>
      </c>
      <c r="E39" s="237">
        <v>2060</v>
      </c>
    </row>
    <row r="40" spans="1:5" ht="32.1" customHeight="1">
      <c r="A40" s="236" t="s">
        <v>651</v>
      </c>
      <c r="B40" s="237">
        <v>0</v>
      </c>
      <c r="C40" s="237">
        <v>1602</v>
      </c>
      <c r="D40" s="237">
        <v>0</v>
      </c>
      <c r="E40" s="237">
        <v>24697</v>
      </c>
    </row>
    <row r="41" spans="1:5" ht="32.1" customHeight="1">
      <c r="A41" s="236" t="s">
        <v>846</v>
      </c>
      <c r="B41" s="237">
        <v>7560</v>
      </c>
      <c r="C41" s="237">
        <v>67</v>
      </c>
      <c r="D41" s="237">
        <v>4419</v>
      </c>
      <c r="E41" s="237">
        <v>269</v>
      </c>
    </row>
    <row r="42" spans="1:5" ht="32.1" customHeight="1">
      <c r="A42" s="236" t="s">
        <v>782</v>
      </c>
      <c r="B42" s="237">
        <v>21488</v>
      </c>
      <c r="C42" s="237">
        <v>162</v>
      </c>
      <c r="D42" s="237">
        <v>13810</v>
      </c>
      <c r="E42" s="237">
        <v>552</v>
      </c>
    </row>
    <row r="43" spans="1:5" ht="32.1" customHeight="1">
      <c r="A43" s="236" t="s">
        <v>833</v>
      </c>
      <c r="B43" s="237">
        <v>3021</v>
      </c>
      <c r="C43" s="237">
        <v>314</v>
      </c>
      <c r="D43" s="237">
        <v>3089</v>
      </c>
      <c r="E43" s="237">
        <v>6245</v>
      </c>
    </row>
    <row r="44" spans="1:5" ht="32.1" customHeight="1">
      <c r="A44" s="236" t="s">
        <v>874</v>
      </c>
      <c r="B44" s="237">
        <v>0</v>
      </c>
      <c r="C44" s="237">
        <v>2</v>
      </c>
      <c r="D44" s="237">
        <v>0</v>
      </c>
      <c r="E44" s="237">
        <v>9</v>
      </c>
    </row>
    <row r="45" spans="1:5" ht="32.1" customHeight="1">
      <c r="A45" s="236" t="s">
        <v>652</v>
      </c>
      <c r="B45" s="237">
        <v>13577</v>
      </c>
      <c r="C45" s="237">
        <v>286</v>
      </c>
      <c r="D45" s="237">
        <v>8373</v>
      </c>
      <c r="E45" s="237">
        <v>4875</v>
      </c>
    </row>
    <row r="46" spans="1:5" ht="32.1" customHeight="1">
      <c r="A46" s="236" t="s">
        <v>653</v>
      </c>
      <c r="B46" s="237">
        <v>0</v>
      </c>
      <c r="C46" s="237">
        <v>15</v>
      </c>
      <c r="D46" s="237">
        <v>0</v>
      </c>
      <c r="E46" s="237">
        <v>864</v>
      </c>
    </row>
    <row r="47" spans="1:5" ht="32.1" customHeight="1">
      <c r="A47" s="236" t="s">
        <v>847</v>
      </c>
      <c r="B47" s="237">
        <v>7540</v>
      </c>
      <c r="C47" s="237">
        <v>52</v>
      </c>
      <c r="D47" s="237">
        <v>189</v>
      </c>
      <c r="E47" s="237">
        <v>443</v>
      </c>
    </row>
    <row r="48" spans="1:5" ht="32.1" customHeight="1">
      <c r="A48" s="236" t="s">
        <v>769</v>
      </c>
      <c r="B48" s="237">
        <v>5590</v>
      </c>
      <c r="C48" s="237">
        <v>237</v>
      </c>
      <c r="D48" s="237">
        <v>4785</v>
      </c>
      <c r="E48" s="237">
        <v>2010</v>
      </c>
    </row>
    <row r="49" spans="1:5" ht="32.1" customHeight="1">
      <c r="A49" s="236" t="s">
        <v>658</v>
      </c>
      <c r="B49" s="237">
        <v>27344</v>
      </c>
      <c r="C49" s="237">
        <v>500</v>
      </c>
      <c r="D49" s="237">
        <v>17892</v>
      </c>
      <c r="E49" s="237">
        <v>2019</v>
      </c>
    </row>
    <row r="50" spans="1:5" ht="32.1" customHeight="1">
      <c r="A50" s="236" t="s">
        <v>660</v>
      </c>
      <c r="B50" s="237">
        <v>50672</v>
      </c>
      <c r="C50" s="237">
        <v>186</v>
      </c>
      <c r="D50" s="237">
        <v>6004</v>
      </c>
      <c r="E50" s="237">
        <v>1920</v>
      </c>
    </row>
    <row r="51" spans="1:5" ht="32.1" customHeight="1">
      <c r="A51" s="236" t="s">
        <v>848</v>
      </c>
      <c r="B51" s="237">
        <v>18168</v>
      </c>
      <c r="C51" s="237">
        <v>70</v>
      </c>
      <c r="D51" s="237">
        <v>3057</v>
      </c>
      <c r="E51" s="237">
        <v>833</v>
      </c>
    </row>
    <row r="52" spans="1:5" ht="32.1" customHeight="1">
      <c r="A52" s="236" t="s">
        <v>875</v>
      </c>
      <c r="B52" s="237">
        <v>0</v>
      </c>
      <c r="C52" s="237">
        <v>62</v>
      </c>
      <c r="D52" s="237">
        <v>0</v>
      </c>
      <c r="E52" s="237">
        <v>1368</v>
      </c>
    </row>
    <row r="53" spans="1:5" ht="32.1" customHeight="1">
      <c r="A53" s="236" t="s">
        <v>816</v>
      </c>
      <c r="B53" s="237">
        <v>22886</v>
      </c>
      <c r="C53" s="237">
        <v>68</v>
      </c>
      <c r="D53" s="237">
        <v>1162</v>
      </c>
      <c r="E53" s="237">
        <v>612</v>
      </c>
    </row>
    <row r="54" spans="1:5" ht="32.1" customHeight="1">
      <c r="A54" s="236" t="s">
        <v>850</v>
      </c>
      <c r="B54" s="237">
        <v>0</v>
      </c>
      <c r="C54" s="237">
        <v>70</v>
      </c>
      <c r="D54" s="237">
        <v>0</v>
      </c>
      <c r="E54" s="237">
        <v>643</v>
      </c>
    </row>
    <row r="55" spans="1:5" ht="32.1" customHeight="1">
      <c r="A55" s="236" t="s">
        <v>663</v>
      </c>
      <c r="B55" s="237">
        <v>15912</v>
      </c>
      <c r="C55" s="237">
        <v>90</v>
      </c>
      <c r="D55" s="237">
        <v>8304</v>
      </c>
      <c r="E55" s="237">
        <v>246</v>
      </c>
    </row>
    <row r="56" spans="1:5" ht="32.1" customHeight="1">
      <c r="A56" s="236" t="s">
        <v>784</v>
      </c>
      <c r="B56" s="237">
        <v>0</v>
      </c>
      <c r="C56" s="237">
        <v>274</v>
      </c>
      <c r="D56" s="237">
        <v>0</v>
      </c>
      <c r="E56" s="237">
        <v>17540</v>
      </c>
    </row>
    <row r="57" spans="1:5" ht="32.1" customHeight="1">
      <c r="A57" s="236" t="s">
        <v>664</v>
      </c>
      <c r="B57" s="237">
        <v>0</v>
      </c>
      <c r="C57" s="237">
        <v>4</v>
      </c>
      <c r="D57" s="237">
        <v>0</v>
      </c>
      <c r="E57" s="237">
        <v>79</v>
      </c>
    </row>
    <row r="58" spans="1:5" ht="32.1" customHeight="1">
      <c r="A58" s="236" t="s">
        <v>665</v>
      </c>
      <c r="B58" s="237">
        <v>145500</v>
      </c>
      <c r="C58" s="237">
        <v>420</v>
      </c>
      <c r="D58" s="237">
        <v>19364</v>
      </c>
      <c r="E58" s="237">
        <v>7919</v>
      </c>
    </row>
    <row r="59" spans="1:5" ht="32.1" customHeight="1">
      <c r="A59" s="236" t="s">
        <v>771</v>
      </c>
      <c r="B59" s="237">
        <v>60778</v>
      </c>
      <c r="C59" s="237">
        <v>2032</v>
      </c>
      <c r="D59" s="237">
        <v>32417</v>
      </c>
      <c r="E59" s="237">
        <v>18095</v>
      </c>
    </row>
    <row r="60" spans="1:5" ht="32.1" customHeight="1">
      <c r="A60" s="236" t="s">
        <v>804</v>
      </c>
      <c r="B60" s="237">
        <v>0</v>
      </c>
      <c r="C60" s="237">
        <v>3</v>
      </c>
      <c r="D60" s="237">
        <v>0</v>
      </c>
      <c r="E60" s="237">
        <v>22</v>
      </c>
    </row>
    <row r="61" spans="1:5" ht="32.1" customHeight="1">
      <c r="A61" s="236" t="s">
        <v>817</v>
      </c>
      <c r="B61" s="237">
        <v>34020</v>
      </c>
      <c r="C61" s="237">
        <v>140</v>
      </c>
      <c r="D61" s="237">
        <v>14859</v>
      </c>
      <c r="E61" s="237">
        <v>1638</v>
      </c>
    </row>
    <row r="62" spans="1:5" ht="32.1" customHeight="1">
      <c r="A62" s="236" t="s">
        <v>667</v>
      </c>
      <c r="B62" s="237">
        <v>0</v>
      </c>
      <c r="C62" s="237">
        <v>36</v>
      </c>
      <c r="D62" s="237">
        <v>0</v>
      </c>
      <c r="E62" s="237">
        <v>502</v>
      </c>
    </row>
    <row r="63" spans="1:5" ht="32.1" customHeight="1">
      <c r="A63" s="236" t="s">
        <v>852</v>
      </c>
      <c r="B63" s="237">
        <v>0</v>
      </c>
      <c r="C63" s="237">
        <v>310</v>
      </c>
      <c r="D63" s="237">
        <v>0</v>
      </c>
      <c r="E63" s="237">
        <v>2391</v>
      </c>
    </row>
    <row r="64" spans="1:5" ht="32.1" customHeight="1">
      <c r="A64" s="236" t="s">
        <v>818</v>
      </c>
      <c r="B64" s="237">
        <v>0</v>
      </c>
      <c r="C64" s="237">
        <v>3</v>
      </c>
      <c r="D64" s="237">
        <v>0</v>
      </c>
      <c r="E64" s="237">
        <v>25</v>
      </c>
    </row>
    <row r="65" spans="1:5" ht="32.1" customHeight="1">
      <c r="A65" s="236" t="s">
        <v>668</v>
      </c>
      <c r="B65" s="237">
        <v>0</v>
      </c>
      <c r="C65" s="237">
        <v>2189</v>
      </c>
      <c r="D65" s="237">
        <v>0</v>
      </c>
      <c r="E65" s="237">
        <v>40919</v>
      </c>
    </row>
    <row r="66" spans="1:5" ht="32.1" customHeight="1">
      <c r="A66" s="236" t="s">
        <v>669</v>
      </c>
      <c r="B66" s="237">
        <v>0</v>
      </c>
      <c r="C66" s="237">
        <v>1</v>
      </c>
      <c r="D66" s="237">
        <v>0</v>
      </c>
      <c r="E66" s="237">
        <v>61</v>
      </c>
    </row>
    <row r="67" spans="1:5" ht="32.1" customHeight="1">
      <c r="A67" s="236" t="s">
        <v>672</v>
      </c>
      <c r="B67" s="237">
        <v>0</v>
      </c>
      <c r="C67" s="237">
        <v>122</v>
      </c>
      <c r="D67" s="237">
        <v>0</v>
      </c>
      <c r="E67" s="237">
        <v>937</v>
      </c>
    </row>
    <row r="68" spans="1:5" ht="32.1" customHeight="1">
      <c r="A68" s="236" t="s">
        <v>673</v>
      </c>
      <c r="B68" s="237">
        <v>150422</v>
      </c>
      <c r="C68" s="237">
        <v>486</v>
      </c>
      <c r="D68" s="237">
        <v>50393</v>
      </c>
      <c r="E68" s="237">
        <v>11819</v>
      </c>
    </row>
    <row r="69" spans="1:5" ht="32.1" customHeight="1">
      <c r="A69" s="236" t="s">
        <v>674</v>
      </c>
      <c r="B69" s="237">
        <v>23872</v>
      </c>
      <c r="C69" s="237">
        <v>631</v>
      </c>
      <c r="D69" s="237">
        <v>1579</v>
      </c>
      <c r="E69" s="237">
        <v>9318</v>
      </c>
    </row>
    <row r="70" spans="1:5" ht="32.1" customHeight="1">
      <c r="A70" s="236" t="s">
        <v>726</v>
      </c>
      <c r="B70" s="237">
        <v>0</v>
      </c>
      <c r="C70" s="237">
        <v>473</v>
      </c>
      <c r="D70" s="237">
        <v>0</v>
      </c>
      <c r="E70" s="237">
        <v>14255</v>
      </c>
    </row>
    <row r="71" spans="1:5" ht="32.1" customHeight="1">
      <c r="A71" s="236" t="s">
        <v>677</v>
      </c>
      <c r="B71" s="237">
        <v>0</v>
      </c>
      <c r="C71" s="237">
        <v>596</v>
      </c>
      <c r="D71" s="237">
        <v>0</v>
      </c>
      <c r="E71" s="237">
        <v>27823</v>
      </c>
    </row>
    <row r="72" spans="1:5" ht="32.1" customHeight="1">
      <c r="A72" s="236" t="s">
        <v>753</v>
      </c>
      <c r="B72" s="237">
        <v>0</v>
      </c>
      <c r="C72" s="237">
        <v>4</v>
      </c>
      <c r="D72" s="237">
        <v>0</v>
      </c>
      <c r="E72" s="237">
        <v>19</v>
      </c>
    </row>
    <row r="73" spans="1:5" ht="32.1" customHeight="1">
      <c r="A73" s="236" t="s">
        <v>679</v>
      </c>
      <c r="B73" s="237">
        <v>13944</v>
      </c>
      <c r="C73" s="237">
        <v>84</v>
      </c>
      <c r="D73" s="237">
        <v>10497</v>
      </c>
      <c r="E73" s="237">
        <v>377</v>
      </c>
    </row>
    <row r="74" spans="1:5" ht="32.1" customHeight="1">
      <c r="A74" s="236" t="s">
        <v>727</v>
      </c>
      <c r="B74" s="237">
        <v>0</v>
      </c>
      <c r="C74" s="237">
        <v>144</v>
      </c>
      <c r="D74" s="237">
        <v>0</v>
      </c>
      <c r="E74" s="237">
        <v>2593</v>
      </c>
    </row>
    <row r="75" spans="1:5" ht="32.1" customHeight="1">
      <c r="A75" s="236" t="s">
        <v>728</v>
      </c>
      <c r="B75" s="237">
        <v>0</v>
      </c>
      <c r="C75" s="237">
        <v>98</v>
      </c>
      <c r="D75" s="237">
        <v>0</v>
      </c>
      <c r="E75" s="237">
        <v>3422</v>
      </c>
    </row>
    <row r="76" spans="1:5" ht="32.1" customHeight="1">
      <c r="A76" s="236" t="s">
        <v>681</v>
      </c>
      <c r="B76" s="237">
        <v>80958</v>
      </c>
      <c r="C76" s="237">
        <v>602</v>
      </c>
      <c r="D76" s="237">
        <v>25557</v>
      </c>
      <c r="E76" s="237">
        <v>8632</v>
      </c>
    </row>
    <row r="77" spans="1:5" ht="32.1" customHeight="1">
      <c r="A77" s="236" t="s">
        <v>682</v>
      </c>
      <c r="B77" s="237">
        <v>0</v>
      </c>
      <c r="C77" s="237">
        <v>412</v>
      </c>
      <c r="D77" s="237">
        <v>0</v>
      </c>
      <c r="E77" s="237">
        <v>15083</v>
      </c>
    </row>
    <row r="78" spans="1:5" ht="32.1" customHeight="1">
      <c r="A78" s="236" t="s">
        <v>772</v>
      </c>
      <c r="B78" s="237">
        <v>107776</v>
      </c>
      <c r="C78" s="237">
        <v>562</v>
      </c>
      <c r="D78" s="237">
        <v>11529</v>
      </c>
      <c r="E78" s="237">
        <v>9304</v>
      </c>
    </row>
    <row r="79" spans="1:5" ht="32.1" customHeight="1">
      <c r="A79" s="236" t="s">
        <v>729</v>
      </c>
      <c r="B79" s="237">
        <v>145098</v>
      </c>
      <c r="C79" s="237">
        <v>539</v>
      </c>
      <c r="D79" s="237">
        <v>24914</v>
      </c>
      <c r="E79" s="237">
        <v>10551</v>
      </c>
    </row>
    <row r="80" spans="1:5" ht="32.1" customHeight="1">
      <c r="A80" s="236" t="s">
        <v>854</v>
      </c>
      <c r="B80" s="237">
        <v>0</v>
      </c>
      <c r="C80" s="237">
        <v>6</v>
      </c>
      <c r="D80" s="237">
        <v>0</v>
      </c>
      <c r="E80" s="237">
        <v>74</v>
      </c>
    </row>
    <row r="81" spans="1:5" ht="32.1" customHeight="1">
      <c r="A81" s="236" t="s">
        <v>755</v>
      </c>
      <c r="B81" s="237">
        <v>0</v>
      </c>
      <c r="C81" s="237">
        <v>24</v>
      </c>
      <c r="D81" s="237">
        <v>0</v>
      </c>
      <c r="E81" s="237">
        <v>280</v>
      </c>
    </row>
    <row r="82" spans="1:5" ht="32.1" customHeight="1">
      <c r="A82" s="236" t="s">
        <v>684</v>
      </c>
      <c r="B82" s="237">
        <v>10752</v>
      </c>
      <c r="C82" s="237">
        <v>84</v>
      </c>
      <c r="D82" s="237">
        <v>5504</v>
      </c>
      <c r="E82" s="237">
        <v>133</v>
      </c>
    </row>
    <row r="83" spans="1:5" ht="32.1" customHeight="1">
      <c r="A83" s="236" t="s">
        <v>741</v>
      </c>
      <c r="B83" s="237">
        <v>0</v>
      </c>
      <c r="C83" s="237">
        <v>6</v>
      </c>
      <c r="D83" s="237">
        <v>0</v>
      </c>
      <c r="E83" s="237">
        <v>78</v>
      </c>
    </row>
    <row r="84" spans="1:5" ht="32.1" customHeight="1">
      <c r="A84" s="236" t="s">
        <v>685</v>
      </c>
      <c r="B84" s="237">
        <v>24180</v>
      </c>
      <c r="C84" s="237">
        <v>156</v>
      </c>
      <c r="D84" s="237">
        <v>13710</v>
      </c>
      <c r="E84" s="237">
        <v>2115</v>
      </c>
    </row>
    <row r="85" spans="1:5" ht="32.1" customHeight="1">
      <c r="A85" s="236" t="s">
        <v>876</v>
      </c>
      <c r="B85" s="237">
        <v>0</v>
      </c>
      <c r="C85" s="237">
        <v>1</v>
      </c>
      <c r="D85" s="237">
        <v>0</v>
      </c>
      <c r="E85" s="237">
        <v>21</v>
      </c>
    </row>
    <row r="86" spans="1:5" ht="32.1" customHeight="1">
      <c r="A86" s="236" t="s">
        <v>773</v>
      </c>
      <c r="B86" s="237">
        <v>6069</v>
      </c>
      <c r="C86" s="237">
        <v>24</v>
      </c>
      <c r="D86" s="237">
        <v>2415</v>
      </c>
      <c r="E86" s="237">
        <v>234</v>
      </c>
    </row>
    <row r="87" spans="1:5" ht="32.1" customHeight="1">
      <c r="A87" s="236" t="s">
        <v>797</v>
      </c>
      <c r="B87" s="237">
        <v>0</v>
      </c>
      <c r="C87" s="237">
        <v>316</v>
      </c>
      <c r="D87" s="237">
        <v>0</v>
      </c>
      <c r="E87" s="237">
        <v>988</v>
      </c>
    </row>
    <row r="88" spans="1:5" ht="32.1" customHeight="1">
      <c r="A88" s="236" t="s">
        <v>877</v>
      </c>
      <c r="B88" s="237">
        <v>0</v>
      </c>
      <c r="C88" s="237">
        <v>2</v>
      </c>
      <c r="D88" s="237">
        <v>0</v>
      </c>
      <c r="E88" s="237">
        <v>27</v>
      </c>
    </row>
    <row r="89" spans="1:5" ht="32.1" customHeight="1">
      <c r="A89" s="236" t="s">
        <v>687</v>
      </c>
      <c r="B89" s="237">
        <v>87150</v>
      </c>
      <c r="C89" s="237">
        <v>544</v>
      </c>
      <c r="D89" s="237">
        <v>30409</v>
      </c>
      <c r="E89" s="237">
        <v>8889</v>
      </c>
    </row>
    <row r="90" spans="1:5" ht="32.1" customHeight="1">
      <c r="A90" s="236" t="s">
        <v>689</v>
      </c>
      <c r="B90" s="237">
        <v>0</v>
      </c>
      <c r="C90" s="237">
        <v>3118</v>
      </c>
      <c r="D90" s="237">
        <v>0</v>
      </c>
      <c r="E90" s="237">
        <v>27629</v>
      </c>
    </row>
    <row r="91" spans="1:5" ht="32.1" customHeight="1">
      <c r="A91" s="236" t="s">
        <v>731</v>
      </c>
      <c r="B91" s="237">
        <v>3328</v>
      </c>
      <c r="C91" s="237">
        <v>107</v>
      </c>
      <c r="D91" s="237">
        <v>1908</v>
      </c>
      <c r="E91" s="237">
        <v>888</v>
      </c>
    </row>
    <row r="92" spans="1:5" ht="32.1" customHeight="1">
      <c r="A92" s="236" t="s">
        <v>692</v>
      </c>
      <c r="B92" s="237">
        <v>0</v>
      </c>
      <c r="C92" s="237">
        <v>18</v>
      </c>
      <c r="D92" s="237">
        <v>0</v>
      </c>
      <c r="E92" s="237">
        <v>120</v>
      </c>
    </row>
    <row r="93" spans="1:5" ht="32.1" customHeight="1">
      <c r="A93" s="236" t="s">
        <v>694</v>
      </c>
      <c r="B93" s="237">
        <v>0</v>
      </c>
      <c r="C93" s="237">
        <v>308</v>
      </c>
      <c r="D93" s="237">
        <v>0</v>
      </c>
      <c r="E93" s="237">
        <v>10459</v>
      </c>
    </row>
    <row r="94" spans="1:5" ht="32.1" customHeight="1">
      <c r="A94" s="236" t="s">
        <v>696</v>
      </c>
      <c r="B94" s="237">
        <v>28705</v>
      </c>
      <c r="C94" s="237">
        <v>464</v>
      </c>
      <c r="D94" s="237">
        <v>14907</v>
      </c>
      <c r="E94" s="237">
        <v>5698</v>
      </c>
    </row>
    <row r="95" spans="1:5" ht="32.1" customHeight="1">
      <c r="A95" s="236" t="s">
        <v>697</v>
      </c>
      <c r="B95" s="237">
        <v>40110</v>
      </c>
      <c r="C95" s="237">
        <v>172</v>
      </c>
      <c r="D95" s="237">
        <v>24029</v>
      </c>
      <c r="E95" s="237">
        <v>1910</v>
      </c>
    </row>
    <row r="96" spans="1:5" ht="32.1" customHeight="1">
      <c r="A96" s="236" t="s">
        <v>698</v>
      </c>
      <c r="B96" s="237">
        <v>25280</v>
      </c>
      <c r="C96" s="237">
        <v>728</v>
      </c>
      <c r="D96" s="237">
        <v>17583</v>
      </c>
      <c r="E96" s="237">
        <v>8203</v>
      </c>
    </row>
    <row r="97" spans="1:5" ht="32.1" customHeight="1">
      <c r="A97" s="236" t="s">
        <v>699</v>
      </c>
      <c r="B97" s="237">
        <v>9622</v>
      </c>
      <c r="C97" s="237">
        <v>54</v>
      </c>
      <c r="D97" s="237">
        <v>4998</v>
      </c>
      <c r="E97" s="237">
        <v>194</v>
      </c>
    </row>
    <row r="98" spans="1:5" ht="32.1" customHeight="1">
      <c r="A98" s="236" t="s">
        <v>700</v>
      </c>
      <c r="B98" s="237">
        <v>0</v>
      </c>
      <c r="C98" s="237">
        <v>484</v>
      </c>
      <c r="D98" s="237">
        <v>0</v>
      </c>
      <c r="E98" s="237">
        <v>4434</v>
      </c>
    </row>
    <row r="99" spans="1:5" ht="32.1" customHeight="1">
      <c r="A99" s="236" t="s">
        <v>701</v>
      </c>
      <c r="B99" s="237">
        <v>20162</v>
      </c>
      <c r="C99" s="237">
        <v>112</v>
      </c>
      <c r="D99" s="237">
        <v>7744</v>
      </c>
      <c r="E99" s="237">
        <v>329</v>
      </c>
    </row>
    <row r="100" spans="1:5" ht="32.1" customHeight="1">
      <c r="A100" s="236" t="s">
        <v>702</v>
      </c>
      <c r="B100" s="237">
        <v>0</v>
      </c>
      <c r="C100" s="237">
        <v>384</v>
      </c>
      <c r="D100" s="237">
        <v>0</v>
      </c>
      <c r="E100" s="237">
        <v>29747</v>
      </c>
    </row>
    <row r="101" spans="1:5" ht="32.1" customHeight="1">
      <c r="A101" s="236" t="s">
        <v>703</v>
      </c>
      <c r="B101" s="237">
        <v>15084</v>
      </c>
      <c r="C101" s="237">
        <v>772</v>
      </c>
      <c r="D101" s="237">
        <v>763</v>
      </c>
      <c r="E101" s="237">
        <v>11742</v>
      </c>
    </row>
    <row r="102" spans="1:5" ht="32.1" customHeight="1">
      <c r="A102" s="236" t="s">
        <v>878</v>
      </c>
      <c r="B102" s="237">
        <v>51620</v>
      </c>
      <c r="C102" s="237">
        <v>354</v>
      </c>
      <c r="D102" s="237">
        <v>3046</v>
      </c>
      <c r="E102" s="237">
        <v>3713</v>
      </c>
    </row>
    <row r="103" spans="1:5" ht="32.1" customHeight="1">
      <c r="A103" s="236" t="s">
        <v>779</v>
      </c>
      <c r="B103" s="237">
        <v>19328</v>
      </c>
      <c r="C103" s="237">
        <v>104</v>
      </c>
      <c r="D103" s="237">
        <v>11185</v>
      </c>
      <c r="E103" s="237">
        <v>238</v>
      </c>
    </row>
    <row r="104" spans="1:5" ht="32.1" customHeight="1">
      <c r="A104" s="236" t="s">
        <v>827</v>
      </c>
      <c r="B104" s="237">
        <v>25428</v>
      </c>
      <c r="C104" s="237">
        <v>142</v>
      </c>
      <c r="D104" s="237">
        <v>11814</v>
      </c>
      <c r="E104" s="237">
        <v>343</v>
      </c>
    </row>
    <row r="105" spans="1:5" ht="32.1" customHeight="1">
      <c r="A105" s="236" t="s">
        <v>839</v>
      </c>
      <c r="B105" s="237">
        <v>0</v>
      </c>
      <c r="C105" s="237">
        <v>90</v>
      </c>
      <c r="D105" s="237">
        <v>0</v>
      </c>
      <c r="E105" s="237">
        <v>3686</v>
      </c>
    </row>
    <row r="106" spans="1:5" ht="32.1" customHeight="1">
      <c r="A106" s="236" t="s">
        <v>704</v>
      </c>
      <c r="B106" s="237">
        <v>0</v>
      </c>
      <c r="C106" s="237">
        <v>264</v>
      </c>
      <c r="D106" s="237">
        <v>0</v>
      </c>
      <c r="E106" s="237">
        <v>13410</v>
      </c>
    </row>
    <row r="107" spans="1:5" ht="32.1" customHeight="1">
      <c r="A107" s="236" t="s">
        <v>705</v>
      </c>
      <c r="B107" s="237">
        <v>177720</v>
      </c>
      <c r="C107" s="237">
        <v>815</v>
      </c>
      <c r="D107" s="237">
        <v>50585</v>
      </c>
      <c r="E107" s="237">
        <v>38306</v>
      </c>
    </row>
    <row r="108" spans="1:5" ht="32.1" customHeight="1">
      <c r="A108" s="236" t="s">
        <v>706</v>
      </c>
      <c r="B108" s="237">
        <v>0</v>
      </c>
      <c r="C108" s="237">
        <v>2275</v>
      </c>
      <c r="D108" s="237">
        <v>0</v>
      </c>
      <c r="E108" s="237">
        <v>9605</v>
      </c>
    </row>
    <row r="109" spans="1:5" ht="32.1" customHeight="1">
      <c r="A109" s="236" t="s">
        <v>798</v>
      </c>
      <c r="B109" s="237">
        <v>0</v>
      </c>
      <c r="C109" s="237">
        <v>22</v>
      </c>
      <c r="D109" s="237">
        <v>0</v>
      </c>
      <c r="E109" s="237">
        <v>93</v>
      </c>
    </row>
    <row r="110" spans="1:5" ht="32.1" customHeight="1">
      <c r="A110" s="236" t="s">
        <v>707</v>
      </c>
      <c r="B110" s="237">
        <v>11028</v>
      </c>
      <c r="C110" s="237">
        <v>390</v>
      </c>
      <c r="D110" s="237">
        <v>1771</v>
      </c>
      <c r="E110" s="237">
        <v>8658</v>
      </c>
    </row>
    <row r="111" spans="1:5" ht="32.1" customHeight="1">
      <c r="A111" s="236" t="s">
        <v>788</v>
      </c>
      <c r="B111" s="237">
        <v>0</v>
      </c>
      <c r="C111" s="237">
        <v>56</v>
      </c>
      <c r="D111" s="237">
        <v>0</v>
      </c>
      <c r="E111" s="237">
        <v>1299</v>
      </c>
    </row>
    <row r="112" spans="1:5" ht="32.1" customHeight="1">
      <c r="A112" s="236" t="s">
        <v>709</v>
      </c>
      <c r="B112" s="237">
        <v>38783</v>
      </c>
      <c r="C112" s="237">
        <v>338</v>
      </c>
      <c r="D112" s="237">
        <v>5434</v>
      </c>
      <c r="E112" s="237">
        <v>8165</v>
      </c>
    </row>
    <row r="113" spans="1:5" ht="32.1" customHeight="1">
      <c r="A113" s="236" t="s">
        <v>710</v>
      </c>
      <c r="B113" s="237">
        <v>72941</v>
      </c>
      <c r="C113" s="237">
        <v>474</v>
      </c>
      <c r="D113" s="237">
        <v>25742</v>
      </c>
      <c r="E113" s="237">
        <v>17470</v>
      </c>
    </row>
    <row r="114" spans="1:5" ht="32.1" customHeight="1">
      <c r="A114" s="236" t="s">
        <v>861</v>
      </c>
      <c r="B114" s="237">
        <v>0</v>
      </c>
      <c r="C114" s="237">
        <v>778</v>
      </c>
      <c r="D114" s="237">
        <v>0</v>
      </c>
      <c r="E114" s="237">
        <v>7387</v>
      </c>
    </row>
    <row r="115" spans="1:5" ht="32.1" customHeight="1">
      <c r="A115" s="236" t="s">
        <v>712</v>
      </c>
      <c r="B115" s="237">
        <v>0</v>
      </c>
      <c r="C115" s="237">
        <v>1841</v>
      </c>
      <c r="D115" s="237">
        <v>0</v>
      </c>
      <c r="E115" s="237">
        <v>43561</v>
      </c>
    </row>
    <row r="116" spans="1:5" ht="32.1" customHeight="1">
      <c r="A116" s="236" t="s">
        <v>713</v>
      </c>
      <c r="B116" s="237">
        <v>0</v>
      </c>
      <c r="C116" s="237">
        <v>2628</v>
      </c>
      <c r="D116" s="237">
        <v>0</v>
      </c>
      <c r="E116" s="237">
        <v>80690</v>
      </c>
    </row>
    <row r="117" spans="1:5" ht="32.1" customHeight="1">
      <c r="A117" s="236" t="s">
        <v>809</v>
      </c>
      <c r="B117" s="237">
        <v>71232</v>
      </c>
      <c r="C117" s="237">
        <v>294</v>
      </c>
      <c r="D117" s="237">
        <v>29513</v>
      </c>
      <c r="E117" s="237">
        <v>3623</v>
      </c>
    </row>
    <row r="118" spans="1:5" ht="32.1" customHeight="1">
      <c r="A118" s="236" t="s">
        <v>715</v>
      </c>
      <c r="B118" s="237">
        <v>80919</v>
      </c>
      <c r="C118" s="237">
        <v>255</v>
      </c>
      <c r="D118" s="237">
        <v>15120</v>
      </c>
      <c r="E118" s="237">
        <v>6416</v>
      </c>
    </row>
    <row r="119" spans="1:5" ht="32.1" customHeight="1">
      <c r="A119" s="236" t="s">
        <v>716</v>
      </c>
      <c r="B119" s="237">
        <v>69863</v>
      </c>
      <c r="C119" s="237">
        <v>339</v>
      </c>
      <c r="D119" s="237">
        <v>8227</v>
      </c>
      <c r="E119" s="237">
        <v>8461</v>
      </c>
    </row>
    <row r="120" spans="1:5" ht="32.1" customHeight="1">
      <c r="A120" s="236" t="s">
        <v>718</v>
      </c>
      <c r="B120" s="237">
        <v>6560</v>
      </c>
      <c r="C120" s="237">
        <v>166</v>
      </c>
      <c r="D120" s="237">
        <v>976</v>
      </c>
      <c r="E120" s="237">
        <v>1931</v>
      </c>
    </row>
    <row r="121" spans="1:5" ht="32.1" customHeight="1">
      <c r="A121" s="236" t="s">
        <v>745</v>
      </c>
      <c r="B121" s="237">
        <v>36066</v>
      </c>
      <c r="C121" s="237">
        <v>285</v>
      </c>
      <c r="D121" s="237">
        <v>10150</v>
      </c>
      <c r="E121" s="237">
        <v>3727</v>
      </c>
    </row>
    <row r="122" spans="1:5" ht="32.1" customHeight="1">
      <c r="A122" s="236" t="s">
        <v>760</v>
      </c>
      <c r="B122" s="237">
        <v>0</v>
      </c>
      <c r="C122" s="237">
        <v>2</v>
      </c>
      <c r="D122" s="237">
        <v>0</v>
      </c>
      <c r="E122" s="237">
        <v>30</v>
      </c>
    </row>
    <row r="123" spans="1:5" ht="32.1" customHeight="1">
      <c r="A123" s="236" t="s">
        <v>733</v>
      </c>
      <c r="B123" s="237">
        <v>0</v>
      </c>
      <c r="C123" s="237">
        <v>188</v>
      </c>
      <c r="D123" s="237">
        <v>0</v>
      </c>
      <c r="E123" s="237">
        <v>544</v>
      </c>
    </row>
    <row r="124" spans="1:5" ht="32.1" customHeight="1">
      <c r="A124" s="236" t="s">
        <v>789</v>
      </c>
      <c r="B124" s="237">
        <v>0</v>
      </c>
      <c r="C124" s="237">
        <v>128</v>
      </c>
      <c r="D124" s="237">
        <v>0</v>
      </c>
      <c r="E124" s="237">
        <v>2409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38E56-B102-4684-B6EF-3D3443CE0E85}">
  <dimension ref="A1:E98"/>
  <sheetViews>
    <sheetView workbookViewId="0">
      <selection sqref="A1:E1"/>
    </sheetView>
  </sheetViews>
  <sheetFormatPr defaultColWidth="9" defaultRowHeight="16.5"/>
  <cols>
    <col min="1" max="1" width="48.5" style="14" customWidth="1"/>
    <col min="2" max="3" width="28.375" style="14" customWidth="1"/>
    <col min="4" max="5" width="28.5" style="14" customWidth="1"/>
    <col min="6" max="16384" width="9" style="14"/>
  </cols>
  <sheetData>
    <row r="1" spans="1:5" ht="33.950000000000003" customHeight="1">
      <c r="A1" s="435" t="s">
        <v>889</v>
      </c>
      <c r="B1" s="436"/>
      <c r="C1" s="436"/>
      <c r="D1" s="436"/>
      <c r="E1" s="436"/>
    </row>
    <row r="2" spans="1:5" ht="36.950000000000003" customHeight="1">
      <c r="A2" s="235" t="s">
        <v>624</v>
      </c>
      <c r="B2" s="235" t="s">
        <v>625</v>
      </c>
      <c r="C2" s="235" t="s">
        <v>626</v>
      </c>
      <c r="D2" s="235" t="s">
        <v>340</v>
      </c>
      <c r="E2" s="235" t="s">
        <v>342</v>
      </c>
    </row>
    <row r="3" spans="1:5" ht="32.1" customHeight="1">
      <c r="A3" s="236" t="s">
        <v>627</v>
      </c>
      <c r="B3" s="237">
        <v>148604672</v>
      </c>
      <c r="C3" s="237">
        <v>688245</v>
      </c>
      <c r="D3" s="237">
        <v>124286883</v>
      </c>
      <c r="E3" s="237">
        <v>2586429</v>
      </c>
    </row>
    <row r="4" spans="1:5" ht="32.1" customHeight="1">
      <c r="A4" s="236" t="s">
        <v>628</v>
      </c>
      <c r="B4" s="237">
        <v>111528123</v>
      </c>
      <c r="C4" s="237">
        <v>523827</v>
      </c>
      <c r="D4" s="237">
        <v>94245011</v>
      </c>
      <c r="E4" s="237">
        <v>1723221</v>
      </c>
    </row>
    <row r="5" spans="1:5" ht="32.1" customHeight="1">
      <c r="A5" s="236" t="s">
        <v>629</v>
      </c>
      <c r="B5" s="237">
        <v>34122844</v>
      </c>
      <c r="C5" s="237">
        <v>150137</v>
      </c>
      <c r="D5" s="237">
        <v>27834934</v>
      </c>
      <c r="E5" s="237">
        <v>892834</v>
      </c>
    </row>
    <row r="6" spans="1:5" ht="32.1" customHeight="1">
      <c r="A6" s="236" t="s">
        <v>630</v>
      </c>
      <c r="B6" s="237">
        <v>23873324</v>
      </c>
      <c r="C6" s="237">
        <v>98933</v>
      </c>
      <c r="D6" s="237">
        <v>20306912</v>
      </c>
      <c r="E6" s="237">
        <v>479076</v>
      </c>
    </row>
    <row r="7" spans="1:5" ht="32.1" customHeight="1">
      <c r="A7" s="236" t="s">
        <v>631</v>
      </c>
      <c r="B7" s="237">
        <v>15160068</v>
      </c>
      <c r="C7" s="237">
        <v>80243</v>
      </c>
      <c r="D7" s="237">
        <v>13352537</v>
      </c>
      <c r="E7" s="237">
        <v>100820</v>
      </c>
    </row>
    <row r="8" spans="1:5" ht="32.1" customHeight="1">
      <c r="A8" s="236" t="s">
        <v>632</v>
      </c>
      <c r="B8" s="237">
        <v>10002717</v>
      </c>
      <c r="C8" s="237">
        <v>46470</v>
      </c>
      <c r="D8" s="237">
        <v>8754190</v>
      </c>
      <c r="E8" s="237">
        <v>81225</v>
      </c>
    </row>
    <row r="9" spans="1:5" ht="32.1" customHeight="1">
      <c r="A9" s="236" t="s">
        <v>633</v>
      </c>
      <c r="B9" s="237">
        <v>9576749</v>
      </c>
      <c r="C9" s="237">
        <v>49622</v>
      </c>
      <c r="D9" s="237">
        <v>7863061</v>
      </c>
      <c r="E9" s="237">
        <v>51342</v>
      </c>
    </row>
    <row r="10" spans="1:5" ht="32.1" customHeight="1">
      <c r="A10" s="236" t="s">
        <v>634</v>
      </c>
      <c r="B10" s="237">
        <v>7220370</v>
      </c>
      <c r="C10" s="237">
        <v>37642</v>
      </c>
      <c r="D10" s="237">
        <v>6193866</v>
      </c>
      <c r="E10" s="237">
        <v>42541</v>
      </c>
    </row>
    <row r="11" spans="1:5" ht="32.1" customHeight="1">
      <c r="A11" s="236" t="s">
        <v>722</v>
      </c>
      <c r="B11" s="237">
        <v>9341853</v>
      </c>
      <c r="C11" s="237">
        <v>49482</v>
      </c>
      <c r="D11" s="237">
        <v>7999611</v>
      </c>
      <c r="E11" s="237">
        <v>58755</v>
      </c>
    </row>
    <row r="12" spans="1:5" ht="32.1" customHeight="1">
      <c r="A12" s="236" t="s">
        <v>800</v>
      </c>
      <c r="B12" s="237">
        <v>2195602</v>
      </c>
      <c r="C12" s="237">
        <v>11112</v>
      </c>
      <c r="D12" s="237">
        <v>1916636</v>
      </c>
      <c r="E12" s="237">
        <v>16502</v>
      </c>
    </row>
    <row r="13" spans="1:5" ht="32.1" customHeight="1">
      <c r="A13" s="236" t="s">
        <v>829</v>
      </c>
      <c r="B13" s="237">
        <v>34596</v>
      </c>
      <c r="C13" s="237">
        <v>186</v>
      </c>
      <c r="D13" s="237">
        <v>23264</v>
      </c>
      <c r="E13" s="237">
        <v>126</v>
      </c>
    </row>
    <row r="14" spans="1:5" ht="32.1" customHeight="1">
      <c r="A14" s="236" t="s">
        <v>635</v>
      </c>
      <c r="B14" s="237">
        <v>37076549</v>
      </c>
      <c r="C14" s="237">
        <v>164418</v>
      </c>
      <c r="D14" s="237">
        <v>30041872</v>
      </c>
      <c r="E14" s="237">
        <v>863208</v>
      </c>
    </row>
    <row r="15" spans="1:5" ht="32.1" customHeight="1">
      <c r="A15" s="236" t="s">
        <v>638</v>
      </c>
      <c r="B15" s="237">
        <v>408078</v>
      </c>
      <c r="C15" s="237">
        <v>1390</v>
      </c>
      <c r="D15" s="237">
        <v>296316</v>
      </c>
      <c r="E15" s="237">
        <v>12425</v>
      </c>
    </row>
    <row r="16" spans="1:5" ht="32.1" customHeight="1">
      <c r="A16" s="236" t="s">
        <v>641</v>
      </c>
      <c r="B16" s="237">
        <v>224868</v>
      </c>
      <c r="C16" s="237">
        <v>726</v>
      </c>
      <c r="D16" s="237">
        <v>203903</v>
      </c>
      <c r="E16" s="237">
        <v>20001</v>
      </c>
    </row>
    <row r="17" spans="1:5" ht="32.1" customHeight="1">
      <c r="A17" s="236" t="s">
        <v>831</v>
      </c>
      <c r="B17" s="237">
        <v>11368</v>
      </c>
      <c r="C17" s="237">
        <v>38</v>
      </c>
      <c r="D17" s="237">
        <v>9460</v>
      </c>
      <c r="E17" s="237">
        <v>505</v>
      </c>
    </row>
    <row r="18" spans="1:5" ht="32.1" customHeight="1">
      <c r="A18" s="236" t="s">
        <v>643</v>
      </c>
      <c r="B18" s="237">
        <v>761164</v>
      </c>
      <c r="C18" s="237">
        <v>2686</v>
      </c>
      <c r="D18" s="237">
        <v>680606</v>
      </c>
      <c r="E18" s="237">
        <v>29236</v>
      </c>
    </row>
    <row r="19" spans="1:5" ht="32.1" customHeight="1">
      <c r="A19" s="236" t="s">
        <v>765</v>
      </c>
      <c r="B19" s="237">
        <v>96166</v>
      </c>
      <c r="C19" s="237">
        <v>670</v>
      </c>
      <c r="D19" s="237">
        <v>61682</v>
      </c>
      <c r="E19" s="237">
        <v>1140</v>
      </c>
    </row>
    <row r="20" spans="1:5" ht="32.1" customHeight="1">
      <c r="A20" s="236" t="s">
        <v>645</v>
      </c>
      <c r="B20" s="237">
        <v>340424</v>
      </c>
      <c r="C20" s="237">
        <v>972</v>
      </c>
      <c r="D20" s="237">
        <v>268405</v>
      </c>
      <c r="E20" s="237">
        <v>10551</v>
      </c>
    </row>
    <row r="21" spans="1:5" ht="32.1" customHeight="1">
      <c r="A21" s="236" t="s">
        <v>646</v>
      </c>
      <c r="B21" s="237">
        <v>449034</v>
      </c>
      <c r="C21" s="237">
        <v>1316</v>
      </c>
      <c r="D21" s="237">
        <v>400728</v>
      </c>
      <c r="E21" s="237">
        <v>19062</v>
      </c>
    </row>
    <row r="22" spans="1:5" ht="32.1" customHeight="1">
      <c r="A22" s="236" t="s">
        <v>824</v>
      </c>
      <c r="B22" s="237">
        <v>35670</v>
      </c>
      <c r="C22" s="237">
        <v>206</v>
      </c>
      <c r="D22" s="237">
        <v>25712</v>
      </c>
      <c r="E22" s="237">
        <v>266</v>
      </c>
    </row>
    <row r="23" spans="1:5" ht="32.1" customHeight="1">
      <c r="A23" s="236" t="s">
        <v>649</v>
      </c>
      <c r="B23" s="237">
        <v>388400</v>
      </c>
      <c r="C23" s="237">
        <v>1228</v>
      </c>
      <c r="D23" s="237">
        <v>288073</v>
      </c>
      <c r="E23" s="237">
        <v>16425</v>
      </c>
    </row>
    <row r="24" spans="1:5" ht="32.1" customHeight="1">
      <c r="A24" s="236" t="s">
        <v>748</v>
      </c>
      <c r="B24" s="237">
        <v>742</v>
      </c>
      <c r="C24" s="237">
        <v>7</v>
      </c>
      <c r="D24" s="237">
        <v>635</v>
      </c>
      <c r="E24" s="237">
        <v>7</v>
      </c>
    </row>
    <row r="25" spans="1:5" ht="32.1" customHeight="1">
      <c r="A25" s="236" t="s">
        <v>650</v>
      </c>
      <c r="B25" s="237">
        <v>269068</v>
      </c>
      <c r="C25" s="237">
        <v>1182</v>
      </c>
      <c r="D25" s="237">
        <v>214067</v>
      </c>
      <c r="E25" s="237">
        <v>5566</v>
      </c>
    </row>
    <row r="26" spans="1:5" ht="32.1" customHeight="1">
      <c r="A26" s="236" t="s">
        <v>782</v>
      </c>
      <c r="B26" s="237">
        <v>4512</v>
      </c>
      <c r="C26" s="237">
        <v>32</v>
      </c>
      <c r="D26" s="237">
        <v>1273</v>
      </c>
      <c r="E26" s="237">
        <v>20</v>
      </c>
    </row>
    <row r="27" spans="1:5" ht="32.1" customHeight="1">
      <c r="A27" s="236" t="s">
        <v>833</v>
      </c>
      <c r="B27" s="237">
        <v>47168</v>
      </c>
      <c r="C27" s="237">
        <v>240</v>
      </c>
      <c r="D27" s="237">
        <v>28307</v>
      </c>
      <c r="E27" s="237">
        <v>289</v>
      </c>
    </row>
    <row r="28" spans="1:5" ht="32.1" customHeight="1">
      <c r="A28" s="236" t="s">
        <v>652</v>
      </c>
      <c r="B28" s="237">
        <v>1567860</v>
      </c>
      <c r="C28" s="237">
        <v>6211</v>
      </c>
      <c r="D28" s="237">
        <v>1310334</v>
      </c>
      <c r="E28" s="237">
        <v>50573</v>
      </c>
    </row>
    <row r="29" spans="1:5" ht="32.1" customHeight="1">
      <c r="A29" s="236" t="s">
        <v>768</v>
      </c>
      <c r="B29" s="237">
        <v>63672</v>
      </c>
      <c r="C29" s="237">
        <v>344</v>
      </c>
      <c r="D29" s="237">
        <v>60227</v>
      </c>
      <c r="E29" s="237">
        <v>599</v>
      </c>
    </row>
    <row r="30" spans="1:5" ht="32.1" customHeight="1">
      <c r="A30" s="236" t="s">
        <v>750</v>
      </c>
      <c r="B30" s="237">
        <v>63764</v>
      </c>
      <c r="C30" s="237">
        <v>406</v>
      </c>
      <c r="D30" s="237">
        <v>43975</v>
      </c>
      <c r="E30" s="237">
        <v>962</v>
      </c>
    </row>
    <row r="31" spans="1:5" ht="32.1" customHeight="1">
      <c r="A31" s="236" t="s">
        <v>769</v>
      </c>
      <c r="B31" s="237">
        <v>2282472</v>
      </c>
      <c r="C31" s="237">
        <v>10418</v>
      </c>
      <c r="D31" s="237">
        <v>1797706</v>
      </c>
      <c r="E31" s="237">
        <v>21617</v>
      </c>
    </row>
    <row r="32" spans="1:5" ht="32.1" customHeight="1">
      <c r="A32" s="236" t="s">
        <v>724</v>
      </c>
      <c r="B32" s="237">
        <v>81020</v>
      </c>
      <c r="C32" s="237">
        <v>421</v>
      </c>
      <c r="D32" s="237">
        <v>58352</v>
      </c>
      <c r="E32" s="237">
        <v>878</v>
      </c>
    </row>
    <row r="33" spans="1:5" ht="32.1" customHeight="1">
      <c r="A33" s="236" t="s">
        <v>658</v>
      </c>
      <c r="B33" s="237">
        <v>1185202</v>
      </c>
      <c r="C33" s="237">
        <v>6932</v>
      </c>
      <c r="D33" s="237">
        <v>939324</v>
      </c>
      <c r="E33" s="237">
        <v>16914</v>
      </c>
    </row>
    <row r="34" spans="1:5" ht="32.1" customHeight="1">
      <c r="A34" s="236" t="s">
        <v>659</v>
      </c>
      <c r="B34" s="237">
        <v>435024</v>
      </c>
      <c r="C34" s="237">
        <v>2371</v>
      </c>
      <c r="D34" s="237">
        <v>357416</v>
      </c>
      <c r="E34" s="237">
        <v>5960</v>
      </c>
    </row>
    <row r="35" spans="1:5" ht="32.1" customHeight="1">
      <c r="A35" s="236" t="s">
        <v>660</v>
      </c>
      <c r="B35" s="237">
        <v>579424</v>
      </c>
      <c r="C35" s="237">
        <v>2177</v>
      </c>
      <c r="D35" s="237">
        <v>422453</v>
      </c>
      <c r="E35" s="237">
        <v>10461</v>
      </c>
    </row>
    <row r="36" spans="1:5" ht="32.1" customHeight="1">
      <c r="A36" s="236" t="s">
        <v>739</v>
      </c>
      <c r="B36" s="237">
        <v>73156</v>
      </c>
      <c r="C36" s="237">
        <v>367</v>
      </c>
      <c r="D36" s="237">
        <v>62884</v>
      </c>
      <c r="E36" s="237">
        <v>629</v>
      </c>
    </row>
    <row r="37" spans="1:5" ht="32.1" customHeight="1">
      <c r="A37" s="236" t="s">
        <v>816</v>
      </c>
      <c r="B37" s="237">
        <v>114884</v>
      </c>
      <c r="C37" s="237">
        <v>312</v>
      </c>
      <c r="D37" s="237">
        <v>102774</v>
      </c>
      <c r="E37" s="237">
        <v>2706</v>
      </c>
    </row>
    <row r="38" spans="1:5" ht="32.1" customHeight="1">
      <c r="A38" s="236" t="s">
        <v>663</v>
      </c>
      <c r="B38" s="237">
        <v>262310</v>
      </c>
      <c r="C38" s="237">
        <v>1556</v>
      </c>
      <c r="D38" s="237">
        <v>221048</v>
      </c>
      <c r="E38" s="237">
        <v>2524</v>
      </c>
    </row>
    <row r="39" spans="1:5" ht="32.1" customHeight="1">
      <c r="A39" s="236" t="s">
        <v>783</v>
      </c>
      <c r="B39" s="237">
        <v>33382</v>
      </c>
      <c r="C39" s="237">
        <v>207</v>
      </c>
      <c r="D39" s="237">
        <v>29076</v>
      </c>
      <c r="E39" s="237">
        <v>399</v>
      </c>
    </row>
    <row r="40" spans="1:5" ht="32.1" customHeight="1">
      <c r="A40" s="236" t="s">
        <v>665</v>
      </c>
      <c r="B40" s="237">
        <v>917468</v>
      </c>
      <c r="C40" s="237">
        <v>2994</v>
      </c>
      <c r="D40" s="237">
        <v>776072</v>
      </c>
      <c r="E40" s="237">
        <v>43269</v>
      </c>
    </row>
    <row r="41" spans="1:5" ht="32.1" customHeight="1">
      <c r="A41" s="236" t="s">
        <v>771</v>
      </c>
      <c r="B41" s="237">
        <v>208536</v>
      </c>
      <c r="C41" s="237">
        <v>732</v>
      </c>
      <c r="D41" s="237">
        <v>189433</v>
      </c>
      <c r="E41" s="237">
        <v>9189</v>
      </c>
    </row>
    <row r="42" spans="1:5" ht="32.1" customHeight="1">
      <c r="A42" s="236" t="s">
        <v>817</v>
      </c>
      <c r="B42" s="237">
        <v>104309</v>
      </c>
      <c r="C42" s="237">
        <v>430</v>
      </c>
      <c r="D42" s="237">
        <v>85439</v>
      </c>
      <c r="E42" s="237">
        <v>4271</v>
      </c>
    </row>
    <row r="43" spans="1:5" ht="32.1" customHeight="1">
      <c r="A43" s="236" t="s">
        <v>786</v>
      </c>
      <c r="B43" s="237">
        <v>102986</v>
      </c>
      <c r="C43" s="237">
        <v>412</v>
      </c>
      <c r="D43" s="237">
        <v>86166</v>
      </c>
      <c r="E43" s="237">
        <v>4135</v>
      </c>
    </row>
    <row r="44" spans="1:5" ht="32.1" customHeight="1">
      <c r="A44" s="236" t="s">
        <v>834</v>
      </c>
      <c r="B44" s="237">
        <v>6518</v>
      </c>
      <c r="C44" s="237">
        <v>33</v>
      </c>
      <c r="D44" s="237">
        <v>3341</v>
      </c>
      <c r="E44" s="237">
        <v>30</v>
      </c>
    </row>
    <row r="45" spans="1:5" ht="32.1" customHeight="1">
      <c r="A45" s="236" t="s">
        <v>671</v>
      </c>
      <c r="B45" s="237">
        <v>37174</v>
      </c>
      <c r="C45" s="237">
        <v>284</v>
      </c>
      <c r="D45" s="237">
        <v>22573</v>
      </c>
      <c r="E45" s="237">
        <v>240</v>
      </c>
    </row>
    <row r="46" spans="1:5" ht="32.1" customHeight="1">
      <c r="A46" s="236" t="s">
        <v>673</v>
      </c>
      <c r="B46" s="237">
        <v>381446</v>
      </c>
      <c r="C46" s="237">
        <v>730</v>
      </c>
      <c r="D46" s="237">
        <v>322479</v>
      </c>
      <c r="E46" s="237">
        <v>14358</v>
      </c>
    </row>
    <row r="47" spans="1:5" ht="32.1" customHeight="1">
      <c r="A47" s="236" t="s">
        <v>674</v>
      </c>
      <c r="B47" s="237">
        <v>735115</v>
      </c>
      <c r="C47" s="237">
        <v>3130</v>
      </c>
      <c r="D47" s="237">
        <v>649555</v>
      </c>
      <c r="E47" s="237">
        <v>17974</v>
      </c>
    </row>
    <row r="48" spans="1:5" ht="32.1" customHeight="1">
      <c r="A48" s="236" t="s">
        <v>676</v>
      </c>
      <c r="B48" s="237">
        <v>241318</v>
      </c>
      <c r="C48" s="237">
        <v>1436</v>
      </c>
      <c r="D48" s="237">
        <v>201466</v>
      </c>
      <c r="E48" s="237">
        <v>3643</v>
      </c>
    </row>
    <row r="49" spans="1:5" ht="32.1" customHeight="1">
      <c r="A49" s="236" t="s">
        <v>679</v>
      </c>
      <c r="B49" s="237">
        <v>153792</v>
      </c>
      <c r="C49" s="237">
        <v>754</v>
      </c>
      <c r="D49" s="237">
        <v>114009</v>
      </c>
      <c r="E49" s="237">
        <v>3060</v>
      </c>
    </row>
    <row r="50" spans="1:5" ht="32.1" customHeight="1">
      <c r="A50" s="236" t="s">
        <v>727</v>
      </c>
      <c r="B50" s="237">
        <v>1079311</v>
      </c>
      <c r="C50" s="237">
        <v>2863</v>
      </c>
      <c r="D50" s="237">
        <v>833544</v>
      </c>
      <c r="E50" s="237">
        <v>21243</v>
      </c>
    </row>
    <row r="51" spans="1:5" ht="32.1" customHeight="1">
      <c r="A51" s="236" t="s">
        <v>681</v>
      </c>
      <c r="B51" s="237">
        <v>439518</v>
      </c>
      <c r="C51" s="237">
        <v>1395</v>
      </c>
      <c r="D51" s="237">
        <v>390613</v>
      </c>
      <c r="E51" s="237">
        <v>23678</v>
      </c>
    </row>
    <row r="52" spans="1:5" ht="32.1" customHeight="1">
      <c r="A52" s="236" t="s">
        <v>772</v>
      </c>
      <c r="B52" s="237">
        <v>253236</v>
      </c>
      <c r="C52" s="237">
        <v>934</v>
      </c>
      <c r="D52" s="237">
        <v>87683</v>
      </c>
      <c r="E52" s="237">
        <v>2434</v>
      </c>
    </row>
    <row r="53" spans="1:5" ht="32.1" customHeight="1">
      <c r="A53" s="236" t="s">
        <v>729</v>
      </c>
      <c r="B53" s="237">
        <v>300948</v>
      </c>
      <c r="C53" s="237">
        <v>730</v>
      </c>
      <c r="D53" s="237">
        <v>227736</v>
      </c>
      <c r="E53" s="237">
        <v>11851</v>
      </c>
    </row>
    <row r="54" spans="1:5" ht="32.1" customHeight="1">
      <c r="A54" s="236" t="s">
        <v>755</v>
      </c>
      <c r="B54" s="237">
        <v>154312</v>
      </c>
      <c r="C54" s="237">
        <v>720</v>
      </c>
      <c r="D54" s="237">
        <v>135528</v>
      </c>
      <c r="E54" s="237">
        <v>8138</v>
      </c>
    </row>
    <row r="55" spans="1:5" ht="32.1" customHeight="1">
      <c r="A55" s="236" t="s">
        <v>684</v>
      </c>
      <c r="B55" s="237">
        <v>415032</v>
      </c>
      <c r="C55" s="237">
        <v>3217</v>
      </c>
      <c r="D55" s="237">
        <v>294241</v>
      </c>
      <c r="E55" s="237">
        <v>3814</v>
      </c>
    </row>
    <row r="56" spans="1:5" ht="32.1" customHeight="1">
      <c r="A56" s="236" t="s">
        <v>787</v>
      </c>
      <c r="B56" s="237">
        <v>67918</v>
      </c>
      <c r="C56" s="237">
        <v>358</v>
      </c>
      <c r="D56" s="237">
        <v>61970</v>
      </c>
      <c r="E56" s="237">
        <v>648</v>
      </c>
    </row>
    <row r="57" spans="1:5" ht="32.1" customHeight="1">
      <c r="A57" s="236" t="s">
        <v>685</v>
      </c>
      <c r="B57" s="237">
        <v>181546</v>
      </c>
      <c r="C57" s="237">
        <v>728</v>
      </c>
      <c r="D57" s="237">
        <v>151232</v>
      </c>
      <c r="E57" s="237">
        <v>6197</v>
      </c>
    </row>
    <row r="58" spans="1:5" ht="32.1" customHeight="1">
      <c r="A58" s="236" t="s">
        <v>756</v>
      </c>
      <c r="B58" s="237">
        <v>33283</v>
      </c>
      <c r="C58" s="237">
        <v>199</v>
      </c>
      <c r="D58" s="237">
        <v>21847</v>
      </c>
      <c r="E58" s="237">
        <v>253</v>
      </c>
    </row>
    <row r="59" spans="1:5" ht="32.1" customHeight="1">
      <c r="A59" s="236" t="s">
        <v>687</v>
      </c>
      <c r="B59" s="237">
        <v>261739</v>
      </c>
      <c r="C59" s="237">
        <v>1008</v>
      </c>
      <c r="D59" s="237">
        <v>207146</v>
      </c>
      <c r="E59" s="237">
        <v>13340</v>
      </c>
    </row>
    <row r="60" spans="1:5" ht="32.1" customHeight="1">
      <c r="A60" s="236" t="s">
        <v>688</v>
      </c>
      <c r="B60" s="237">
        <v>52992</v>
      </c>
      <c r="C60" s="237">
        <v>288</v>
      </c>
      <c r="D60" s="237">
        <v>47497</v>
      </c>
      <c r="E60" s="237">
        <v>811</v>
      </c>
    </row>
    <row r="61" spans="1:5" ht="32.1" customHeight="1">
      <c r="A61" s="236" t="s">
        <v>835</v>
      </c>
      <c r="B61" s="237">
        <v>9238</v>
      </c>
      <c r="C61" s="237">
        <v>62</v>
      </c>
      <c r="D61" s="237">
        <v>5894</v>
      </c>
      <c r="E61" s="237">
        <v>77</v>
      </c>
    </row>
    <row r="62" spans="1:5" ht="32.1" customHeight="1">
      <c r="A62" s="236" t="s">
        <v>731</v>
      </c>
      <c r="B62" s="237">
        <v>105728</v>
      </c>
      <c r="C62" s="237">
        <v>414</v>
      </c>
      <c r="D62" s="237">
        <v>64727</v>
      </c>
      <c r="E62" s="237">
        <v>3926</v>
      </c>
    </row>
    <row r="63" spans="1:5" ht="32.1" customHeight="1">
      <c r="A63" s="236" t="s">
        <v>692</v>
      </c>
      <c r="B63" s="237">
        <v>821986</v>
      </c>
      <c r="C63" s="237">
        <v>3627</v>
      </c>
      <c r="D63" s="237">
        <v>676588</v>
      </c>
      <c r="E63" s="237">
        <v>15995</v>
      </c>
    </row>
    <row r="64" spans="1:5" ht="32.1" customHeight="1">
      <c r="A64" s="236" t="s">
        <v>694</v>
      </c>
      <c r="B64" s="237">
        <v>520927</v>
      </c>
      <c r="C64" s="237">
        <v>2182</v>
      </c>
      <c r="D64" s="237">
        <v>414726</v>
      </c>
      <c r="E64" s="237">
        <v>8972</v>
      </c>
    </row>
    <row r="65" spans="1:5" ht="32.1" customHeight="1">
      <c r="A65" s="236" t="s">
        <v>836</v>
      </c>
      <c r="B65" s="237">
        <v>6700</v>
      </c>
      <c r="C65" s="237">
        <v>20</v>
      </c>
      <c r="D65" s="237">
        <v>5851</v>
      </c>
      <c r="E65" s="237">
        <v>77</v>
      </c>
    </row>
    <row r="66" spans="1:5" ht="32.1" customHeight="1">
      <c r="A66" s="236" t="s">
        <v>805</v>
      </c>
      <c r="B66" s="237">
        <v>35176</v>
      </c>
      <c r="C66" s="237">
        <v>195</v>
      </c>
      <c r="D66" s="237">
        <v>32015</v>
      </c>
      <c r="E66" s="237">
        <v>337</v>
      </c>
    </row>
    <row r="67" spans="1:5" ht="32.1" customHeight="1">
      <c r="A67" s="236" t="s">
        <v>696</v>
      </c>
      <c r="B67" s="237">
        <v>1537421</v>
      </c>
      <c r="C67" s="237">
        <v>8065</v>
      </c>
      <c r="D67" s="237">
        <v>1250721</v>
      </c>
      <c r="E67" s="237">
        <v>30204</v>
      </c>
    </row>
    <row r="68" spans="1:5" ht="32.1" customHeight="1">
      <c r="A68" s="236" t="s">
        <v>776</v>
      </c>
      <c r="B68" s="237">
        <v>234382</v>
      </c>
      <c r="C68" s="237">
        <v>1484</v>
      </c>
      <c r="D68" s="237">
        <v>215916</v>
      </c>
      <c r="E68" s="237">
        <v>3271</v>
      </c>
    </row>
    <row r="69" spans="1:5" ht="32.1" customHeight="1">
      <c r="A69" s="236" t="s">
        <v>697</v>
      </c>
      <c r="B69" s="237">
        <v>2663952</v>
      </c>
      <c r="C69" s="237">
        <v>14981</v>
      </c>
      <c r="D69" s="237">
        <v>2142980</v>
      </c>
      <c r="E69" s="237">
        <v>43514</v>
      </c>
    </row>
    <row r="70" spans="1:5" ht="32.1" customHeight="1">
      <c r="A70" s="236" t="s">
        <v>698</v>
      </c>
      <c r="B70" s="237">
        <v>3005784</v>
      </c>
      <c r="C70" s="237">
        <v>15621</v>
      </c>
      <c r="D70" s="237">
        <v>2380343</v>
      </c>
      <c r="E70" s="237">
        <v>47724</v>
      </c>
    </row>
    <row r="71" spans="1:5" ht="32.1" customHeight="1">
      <c r="A71" s="236" t="s">
        <v>837</v>
      </c>
      <c r="B71" s="237">
        <v>27056</v>
      </c>
      <c r="C71" s="237">
        <v>160</v>
      </c>
      <c r="D71" s="237">
        <v>22522</v>
      </c>
      <c r="E71" s="237">
        <v>230</v>
      </c>
    </row>
    <row r="72" spans="1:5" ht="32.1" customHeight="1">
      <c r="A72" s="236" t="s">
        <v>699</v>
      </c>
      <c r="B72" s="237">
        <v>212096</v>
      </c>
      <c r="C72" s="237">
        <v>1266</v>
      </c>
      <c r="D72" s="237">
        <v>159688</v>
      </c>
      <c r="E72" s="237">
        <v>3588</v>
      </c>
    </row>
    <row r="73" spans="1:5" ht="32.1" customHeight="1">
      <c r="A73" s="236" t="s">
        <v>701</v>
      </c>
      <c r="B73" s="237">
        <v>125546</v>
      </c>
      <c r="C73" s="237">
        <v>730</v>
      </c>
      <c r="D73" s="237">
        <v>95589</v>
      </c>
      <c r="E73" s="237">
        <v>1746</v>
      </c>
    </row>
    <row r="74" spans="1:5" ht="32.1" customHeight="1">
      <c r="A74" s="236" t="s">
        <v>703</v>
      </c>
      <c r="B74" s="237">
        <v>986211</v>
      </c>
      <c r="C74" s="237">
        <v>4174</v>
      </c>
      <c r="D74" s="237">
        <v>838334</v>
      </c>
      <c r="E74" s="237">
        <v>24318</v>
      </c>
    </row>
    <row r="75" spans="1:5" ht="32.1" customHeight="1">
      <c r="A75" s="236" t="s">
        <v>838</v>
      </c>
      <c r="B75" s="237">
        <v>19944</v>
      </c>
      <c r="C75" s="237">
        <v>110</v>
      </c>
      <c r="D75" s="237">
        <v>14040</v>
      </c>
      <c r="E75" s="237">
        <v>133</v>
      </c>
    </row>
    <row r="76" spans="1:5" ht="32.1" customHeight="1">
      <c r="A76" s="236" t="s">
        <v>757</v>
      </c>
      <c r="B76" s="237">
        <v>187042</v>
      </c>
      <c r="C76" s="237">
        <v>1054</v>
      </c>
      <c r="D76" s="237">
        <v>167696</v>
      </c>
      <c r="E76" s="237">
        <v>2002</v>
      </c>
    </row>
    <row r="77" spans="1:5" ht="32.1" customHeight="1">
      <c r="A77" s="236" t="s">
        <v>778</v>
      </c>
      <c r="B77" s="237">
        <v>105294</v>
      </c>
      <c r="C77" s="237">
        <v>381</v>
      </c>
      <c r="D77" s="237">
        <v>85188</v>
      </c>
      <c r="E77" s="237">
        <v>4585</v>
      </c>
    </row>
    <row r="78" spans="1:5" ht="32.1" customHeight="1">
      <c r="A78" s="236" t="s">
        <v>779</v>
      </c>
      <c r="B78" s="237">
        <v>1056996</v>
      </c>
      <c r="C78" s="237">
        <v>5780</v>
      </c>
      <c r="D78" s="237">
        <v>909787</v>
      </c>
      <c r="E78" s="237">
        <v>9678</v>
      </c>
    </row>
    <row r="79" spans="1:5" ht="32.1" customHeight="1">
      <c r="A79" s="236" t="s">
        <v>827</v>
      </c>
      <c r="B79" s="237">
        <v>117816</v>
      </c>
      <c r="C79" s="237">
        <v>744</v>
      </c>
      <c r="D79" s="237">
        <v>92864</v>
      </c>
      <c r="E79" s="237">
        <v>1639</v>
      </c>
    </row>
    <row r="80" spans="1:5" ht="32.1" customHeight="1">
      <c r="A80" s="236" t="s">
        <v>705</v>
      </c>
      <c r="B80" s="237">
        <v>279774</v>
      </c>
      <c r="C80" s="237">
        <v>730</v>
      </c>
      <c r="D80" s="237">
        <v>230849</v>
      </c>
      <c r="E80" s="237">
        <v>14895</v>
      </c>
    </row>
    <row r="81" spans="1:5" ht="32.1" customHeight="1">
      <c r="A81" s="236" t="s">
        <v>707</v>
      </c>
      <c r="B81" s="237">
        <v>1241746</v>
      </c>
      <c r="C81" s="237">
        <v>4061</v>
      </c>
      <c r="D81" s="237">
        <v>1009940</v>
      </c>
      <c r="E81" s="237">
        <v>44765</v>
      </c>
    </row>
    <row r="82" spans="1:5" ht="32.1" customHeight="1">
      <c r="A82" s="236" t="s">
        <v>708</v>
      </c>
      <c r="B82" s="237">
        <v>181170</v>
      </c>
      <c r="C82" s="237">
        <v>1053</v>
      </c>
      <c r="D82" s="237">
        <v>139899</v>
      </c>
      <c r="E82" s="237">
        <v>2233</v>
      </c>
    </row>
    <row r="83" spans="1:5" ht="32.1" customHeight="1">
      <c r="A83" s="236" t="s">
        <v>807</v>
      </c>
      <c r="B83" s="237">
        <v>206280</v>
      </c>
      <c r="C83" s="237">
        <v>1146</v>
      </c>
      <c r="D83" s="237">
        <v>175961</v>
      </c>
      <c r="E83" s="237">
        <v>1734</v>
      </c>
    </row>
    <row r="84" spans="1:5" ht="32.1" customHeight="1">
      <c r="A84" s="236" t="s">
        <v>788</v>
      </c>
      <c r="B84" s="237">
        <v>792196</v>
      </c>
      <c r="C84" s="237">
        <v>2108</v>
      </c>
      <c r="D84" s="237">
        <v>643534</v>
      </c>
      <c r="E84" s="237">
        <v>14548</v>
      </c>
    </row>
    <row r="85" spans="1:5" ht="32.1" customHeight="1">
      <c r="A85" s="236" t="s">
        <v>709</v>
      </c>
      <c r="B85" s="237">
        <v>1384884</v>
      </c>
      <c r="C85" s="237">
        <v>4106</v>
      </c>
      <c r="D85" s="237">
        <v>1090558</v>
      </c>
      <c r="E85" s="237">
        <v>49118</v>
      </c>
    </row>
    <row r="86" spans="1:5" ht="32.1" customHeight="1">
      <c r="A86" s="236" t="s">
        <v>710</v>
      </c>
      <c r="B86" s="237">
        <v>372562</v>
      </c>
      <c r="C86" s="237">
        <v>1138</v>
      </c>
      <c r="D86" s="237">
        <v>332162</v>
      </c>
      <c r="E86" s="237">
        <v>19230</v>
      </c>
    </row>
    <row r="87" spans="1:5" ht="32.1" customHeight="1">
      <c r="A87" s="236" t="s">
        <v>821</v>
      </c>
      <c r="B87" s="237">
        <v>12528</v>
      </c>
      <c r="C87" s="237">
        <v>81</v>
      </c>
      <c r="D87" s="237">
        <v>9323</v>
      </c>
      <c r="E87" s="237">
        <v>103</v>
      </c>
    </row>
    <row r="88" spans="1:5" ht="32.1" customHeight="1">
      <c r="A88" s="236" t="s">
        <v>808</v>
      </c>
      <c r="B88" s="237">
        <v>422100</v>
      </c>
      <c r="C88" s="237">
        <v>2347</v>
      </c>
      <c r="D88" s="237">
        <v>347079</v>
      </c>
      <c r="E88" s="237">
        <v>3552</v>
      </c>
    </row>
    <row r="89" spans="1:5" ht="32.1" customHeight="1">
      <c r="A89" s="236" t="s">
        <v>809</v>
      </c>
      <c r="B89" s="237">
        <v>170016</v>
      </c>
      <c r="C89" s="237">
        <v>610</v>
      </c>
      <c r="D89" s="237">
        <v>146066</v>
      </c>
      <c r="E89" s="237">
        <v>7409</v>
      </c>
    </row>
    <row r="90" spans="1:5" ht="32.1" customHeight="1">
      <c r="A90" s="236" t="s">
        <v>715</v>
      </c>
      <c r="B90" s="237">
        <v>320368</v>
      </c>
      <c r="C90" s="237">
        <v>878</v>
      </c>
      <c r="D90" s="237">
        <v>283010</v>
      </c>
      <c r="E90" s="237">
        <v>18047</v>
      </c>
    </row>
    <row r="91" spans="1:5" ht="32.1" customHeight="1">
      <c r="A91" s="236" t="s">
        <v>759</v>
      </c>
      <c r="B91" s="237">
        <v>963900</v>
      </c>
      <c r="C91" s="237">
        <v>5355</v>
      </c>
      <c r="D91" s="237">
        <v>729457</v>
      </c>
      <c r="E91" s="237">
        <v>4654</v>
      </c>
    </row>
    <row r="92" spans="1:5" ht="32.1" customHeight="1">
      <c r="A92" s="236" t="s">
        <v>716</v>
      </c>
      <c r="B92" s="237">
        <v>247274</v>
      </c>
      <c r="C92" s="237">
        <v>724</v>
      </c>
      <c r="D92" s="237">
        <v>214986</v>
      </c>
      <c r="E92" s="237">
        <v>14850</v>
      </c>
    </row>
    <row r="93" spans="1:5" ht="32.1" customHeight="1">
      <c r="A93" s="236" t="s">
        <v>822</v>
      </c>
      <c r="B93" s="237">
        <v>815492</v>
      </c>
      <c r="C93" s="237">
        <v>4523</v>
      </c>
      <c r="D93" s="237">
        <v>651590</v>
      </c>
      <c r="E93" s="237">
        <v>6774</v>
      </c>
    </row>
    <row r="94" spans="1:5" ht="32.1" customHeight="1">
      <c r="A94" s="236" t="s">
        <v>718</v>
      </c>
      <c r="B94" s="237">
        <v>967693</v>
      </c>
      <c r="C94" s="237">
        <v>4209</v>
      </c>
      <c r="D94" s="237">
        <v>800049</v>
      </c>
      <c r="E94" s="237">
        <v>17033</v>
      </c>
    </row>
    <row r="95" spans="1:5" ht="32.1" customHeight="1">
      <c r="A95" s="236" t="s">
        <v>745</v>
      </c>
      <c r="B95" s="237">
        <v>158344</v>
      </c>
      <c r="C95" s="237">
        <v>540</v>
      </c>
      <c r="D95" s="237">
        <v>132678</v>
      </c>
      <c r="E95" s="237">
        <v>6623</v>
      </c>
    </row>
    <row r="96" spans="1:5" ht="32.1" customHeight="1">
      <c r="A96" s="236" t="s">
        <v>733</v>
      </c>
      <c r="B96" s="237">
        <v>728</v>
      </c>
      <c r="C96" s="237">
        <v>2</v>
      </c>
      <c r="D96" s="237">
        <v>468</v>
      </c>
      <c r="E96" s="237">
        <v>8</v>
      </c>
    </row>
    <row r="97" spans="1:5" ht="32.1" customHeight="1">
      <c r="A97" s="236" t="s">
        <v>720</v>
      </c>
      <c r="B97" s="237">
        <v>550192</v>
      </c>
      <c r="C97" s="237">
        <v>2557</v>
      </c>
      <c r="D97" s="237">
        <v>495972</v>
      </c>
      <c r="E97" s="237">
        <v>6640</v>
      </c>
    </row>
    <row r="98" spans="1:5" ht="32.1" customHeight="1">
      <c r="A98" s="236" t="s">
        <v>789</v>
      </c>
      <c r="B98" s="237">
        <v>302678</v>
      </c>
      <c r="C98" s="237">
        <v>1410</v>
      </c>
      <c r="D98" s="237">
        <v>238516</v>
      </c>
      <c r="E98" s="237">
        <v>6687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F7988-6FEE-48FA-B262-F26BD2C95A99}">
  <dimension ref="A1:E40"/>
  <sheetViews>
    <sheetView workbookViewId="0">
      <selection sqref="A1:E1"/>
    </sheetView>
  </sheetViews>
  <sheetFormatPr defaultColWidth="9" defaultRowHeight="16.5"/>
  <cols>
    <col min="1" max="1" width="48.5" style="14" customWidth="1"/>
    <col min="2" max="3" width="28.375" style="14" customWidth="1"/>
    <col min="4" max="5" width="28.5" style="14" customWidth="1"/>
    <col min="6" max="16384" width="9" style="14"/>
  </cols>
  <sheetData>
    <row r="1" spans="1:5" ht="33.950000000000003" customHeight="1">
      <c r="A1" s="435" t="s">
        <v>890</v>
      </c>
      <c r="B1" s="436"/>
      <c r="C1" s="436"/>
      <c r="D1" s="436"/>
      <c r="E1" s="436"/>
    </row>
    <row r="2" spans="1:5" ht="36.950000000000003" customHeight="1">
      <c r="A2" s="235" t="s">
        <v>624</v>
      </c>
      <c r="B2" s="235" t="s">
        <v>625</v>
      </c>
      <c r="C2" s="235" t="s">
        <v>626</v>
      </c>
      <c r="D2" s="235" t="s">
        <v>340</v>
      </c>
      <c r="E2" s="235" t="s">
        <v>342</v>
      </c>
    </row>
    <row r="3" spans="1:5" ht="32.1" customHeight="1">
      <c r="A3" s="236" t="s">
        <v>627</v>
      </c>
      <c r="B3" s="237">
        <v>0</v>
      </c>
      <c r="C3" s="237">
        <v>35347</v>
      </c>
      <c r="D3" s="237">
        <v>0</v>
      </c>
      <c r="E3" s="237">
        <v>1688288</v>
      </c>
    </row>
    <row r="4" spans="1:5" ht="32.1" customHeight="1">
      <c r="A4" s="236" t="s">
        <v>628</v>
      </c>
      <c r="B4" s="237">
        <v>0</v>
      </c>
      <c r="C4" s="237">
        <v>18284</v>
      </c>
      <c r="D4" s="237">
        <v>0</v>
      </c>
      <c r="E4" s="237">
        <v>1162073</v>
      </c>
    </row>
    <row r="5" spans="1:5">
      <c r="A5" s="236" t="s">
        <v>629</v>
      </c>
      <c r="B5" s="237">
        <v>0</v>
      </c>
      <c r="C5" s="237">
        <v>10537</v>
      </c>
      <c r="D5" s="237">
        <v>0</v>
      </c>
      <c r="E5" s="237">
        <v>705208</v>
      </c>
    </row>
    <row r="6" spans="1:5">
      <c r="A6" s="236" t="s">
        <v>630</v>
      </c>
      <c r="B6" s="237">
        <v>0</v>
      </c>
      <c r="C6" s="237">
        <v>6479</v>
      </c>
      <c r="D6" s="237">
        <v>0</v>
      </c>
      <c r="E6" s="237">
        <v>439104</v>
      </c>
    </row>
    <row r="7" spans="1:5">
      <c r="A7" s="236" t="s">
        <v>762</v>
      </c>
      <c r="B7" s="237">
        <v>0</v>
      </c>
      <c r="C7" s="237">
        <v>1268</v>
      </c>
      <c r="D7" s="237">
        <v>0</v>
      </c>
      <c r="E7" s="237">
        <v>17761</v>
      </c>
    </row>
    <row r="8" spans="1:5" ht="32.1" customHeight="1">
      <c r="A8" s="236" t="s">
        <v>635</v>
      </c>
      <c r="B8" s="237">
        <v>0</v>
      </c>
      <c r="C8" s="237">
        <v>17063</v>
      </c>
      <c r="D8" s="237">
        <v>0</v>
      </c>
      <c r="E8" s="237">
        <v>526215</v>
      </c>
    </row>
    <row r="9" spans="1:5">
      <c r="A9" s="236" t="s">
        <v>830</v>
      </c>
      <c r="B9" s="237">
        <v>0</v>
      </c>
      <c r="C9" s="237">
        <v>158</v>
      </c>
      <c r="D9" s="237">
        <v>0</v>
      </c>
      <c r="E9" s="237">
        <v>595</v>
      </c>
    </row>
    <row r="10" spans="1:5">
      <c r="A10" s="236" t="s">
        <v>832</v>
      </c>
      <c r="B10" s="237">
        <v>0</v>
      </c>
      <c r="C10" s="237">
        <v>10</v>
      </c>
      <c r="D10" s="237">
        <v>0</v>
      </c>
      <c r="E10" s="237">
        <v>453</v>
      </c>
    </row>
    <row r="11" spans="1:5">
      <c r="A11" s="236" t="s">
        <v>647</v>
      </c>
      <c r="B11" s="237">
        <v>0</v>
      </c>
      <c r="C11" s="237">
        <v>836</v>
      </c>
      <c r="D11" s="237">
        <v>0</v>
      </c>
      <c r="E11" s="237">
        <v>17132</v>
      </c>
    </row>
    <row r="12" spans="1:5">
      <c r="A12" s="236" t="s">
        <v>651</v>
      </c>
      <c r="B12" s="237">
        <v>0</v>
      </c>
      <c r="C12" s="237">
        <v>332</v>
      </c>
      <c r="D12" s="237">
        <v>0</v>
      </c>
      <c r="E12" s="237">
        <v>12895</v>
      </c>
    </row>
    <row r="13" spans="1:5">
      <c r="A13" s="236" t="s">
        <v>653</v>
      </c>
      <c r="B13" s="237">
        <v>0</v>
      </c>
      <c r="C13" s="237">
        <v>9</v>
      </c>
      <c r="D13" s="237">
        <v>0</v>
      </c>
      <c r="E13" s="237">
        <v>327</v>
      </c>
    </row>
    <row r="14" spans="1:5">
      <c r="A14" s="236" t="s">
        <v>657</v>
      </c>
      <c r="B14" s="237">
        <v>0</v>
      </c>
      <c r="C14" s="237">
        <v>2</v>
      </c>
      <c r="D14" s="237">
        <v>0</v>
      </c>
      <c r="E14" s="237">
        <v>73</v>
      </c>
    </row>
    <row r="15" spans="1:5">
      <c r="A15" s="236" t="s">
        <v>784</v>
      </c>
      <c r="B15" s="237">
        <v>0</v>
      </c>
      <c r="C15" s="237">
        <v>304</v>
      </c>
      <c r="D15" s="237">
        <v>0</v>
      </c>
      <c r="E15" s="237">
        <v>17290</v>
      </c>
    </row>
    <row r="16" spans="1:5">
      <c r="A16" s="236" t="s">
        <v>804</v>
      </c>
      <c r="B16" s="237">
        <v>0</v>
      </c>
      <c r="C16" s="237">
        <v>4</v>
      </c>
      <c r="D16" s="237">
        <v>0</v>
      </c>
      <c r="E16" s="237">
        <v>4</v>
      </c>
    </row>
    <row r="17" spans="1:5">
      <c r="A17" s="236" t="s">
        <v>818</v>
      </c>
      <c r="B17" s="237">
        <v>0</v>
      </c>
      <c r="C17" s="237">
        <v>1</v>
      </c>
      <c r="D17" s="237">
        <v>0</v>
      </c>
      <c r="E17" s="237">
        <v>8</v>
      </c>
    </row>
    <row r="18" spans="1:5">
      <c r="A18" s="236" t="s">
        <v>668</v>
      </c>
      <c r="B18" s="237">
        <v>0</v>
      </c>
      <c r="C18" s="237">
        <v>1348</v>
      </c>
      <c r="D18" s="237">
        <v>0</v>
      </c>
      <c r="E18" s="237">
        <v>71912</v>
      </c>
    </row>
    <row r="19" spans="1:5">
      <c r="A19" s="236" t="s">
        <v>669</v>
      </c>
      <c r="B19" s="237">
        <v>0</v>
      </c>
      <c r="C19" s="237">
        <v>3</v>
      </c>
      <c r="D19" s="237">
        <v>0</v>
      </c>
      <c r="E19" s="237">
        <v>188</v>
      </c>
    </row>
    <row r="20" spans="1:5">
      <c r="A20" s="236" t="s">
        <v>673</v>
      </c>
      <c r="B20" s="237">
        <v>0</v>
      </c>
      <c r="C20" s="237">
        <v>4</v>
      </c>
      <c r="D20" s="237">
        <v>0</v>
      </c>
      <c r="E20" s="237">
        <v>292</v>
      </c>
    </row>
    <row r="21" spans="1:5">
      <c r="A21" s="236" t="s">
        <v>726</v>
      </c>
      <c r="B21" s="237">
        <v>0</v>
      </c>
      <c r="C21" s="237">
        <v>207</v>
      </c>
      <c r="D21" s="237">
        <v>0</v>
      </c>
      <c r="E21" s="237">
        <v>7451</v>
      </c>
    </row>
    <row r="22" spans="1:5">
      <c r="A22" s="236" t="s">
        <v>677</v>
      </c>
      <c r="B22" s="237">
        <v>0</v>
      </c>
      <c r="C22" s="237">
        <v>756</v>
      </c>
      <c r="D22" s="237">
        <v>0</v>
      </c>
      <c r="E22" s="237">
        <v>28051</v>
      </c>
    </row>
    <row r="23" spans="1:5">
      <c r="A23" s="236" t="s">
        <v>728</v>
      </c>
      <c r="B23" s="237">
        <v>0</v>
      </c>
      <c r="C23" s="237">
        <v>648</v>
      </c>
      <c r="D23" s="237">
        <v>0</v>
      </c>
      <c r="E23" s="237">
        <v>21536</v>
      </c>
    </row>
    <row r="24" spans="1:5">
      <c r="A24" s="236" t="s">
        <v>682</v>
      </c>
      <c r="B24" s="237">
        <v>0</v>
      </c>
      <c r="C24" s="237">
        <v>618</v>
      </c>
      <c r="D24" s="237">
        <v>0</v>
      </c>
      <c r="E24" s="237">
        <v>20099</v>
      </c>
    </row>
    <row r="25" spans="1:5">
      <c r="A25" s="236" t="s">
        <v>772</v>
      </c>
      <c r="B25" s="237">
        <v>0</v>
      </c>
      <c r="C25" s="237">
        <v>144</v>
      </c>
      <c r="D25" s="237">
        <v>0</v>
      </c>
      <c r="E25" s="237">
        <v>4669</v>
      </c>
    </row>
    <row r="26" spans="1:5">
      <c r="A26" s="236" t="s">
        <v>729</v>
      </c>
      <c r="B26" s="237">
        <v>0</v>
      </c>
      <c r="C26" s="237">
        <v>2</v>
      </c>
      <c r="D26" s="237">
        <v>0</v>
      </c>
      <c r="E26" s="237">
        <v>49</v>
      </c>
    </row>
    <row r="27" spans="1:5">
      <c r="A27" s="236" t="s">
        <v>685</v>
      </c>
      <c r="B27" s="237">
        <v>0</v>
      </c>
      <c r="C27" s="237">
        <v>54</v>
      </c>
      <c r="D27" s="237">
        <v>0</v>
      </c>
      <c r="E27" s="237">
        <v>1574</v>
      </c>
    </row>
    <row r="28" spans="1:5">
      <c r="A28" s="236" t="s">
        <v>797</v>
      </c>
      <c r="B28" s="237">
        <v>0</v>
      </c>
      <c r="C28" s="237">
        <v>28</v>
      </c>
      <c r="D28" s="237">
        <v>0</v>
      </c>
      <c r="E28" s="237">
        <v>1546</v>
      </c>
    </row>
    <row r="29" spans="1:5">
      <c r="A29" s="236" t="s">
        <v>689</v>
      </c>
      <c r="B29" s="237">
        <v>0</v>
      </c>
      <c r="C29" s="237">
        <v>3029</v>
      </c>
      <c r="D29" s="237">
        <v>0</v>
      </c>
      <c r="E29" s="237">
        <v>38203</v>
      </c>
    </row>
    <row r="30" spans="1:5">
      <c r="A30" s="236" t="s">
        <v>777</v>
      </c>
      <c r="B30" s="237">
        <v>0</v>
      </c>
      <c r="C30" s="237">
        <v>16</v>
      </c>
      <c r="D30" s="237">
        <v>0</v>
      </c>
      <c r="E30" s="237">
        <v>248</v>
      </c>
    </row>
    <row r="31" spans="1:5">
      <c r="A31" s="236" t="s">
        <v>700</v>
      </c>
      <c r="B31" s="237">
        <v>0</v>
      </c>
      <c r="C31" s="237">
        <v>186</v>
      </c>
      <c r="D31" s="237">
        <v>0</v>
      </c>
      <c r="E31" s="237">
        <v>1388</v>
      </c>
    </row>
    <row r="32" spans="1:5">
      <c r="A32" s="236" t="s">
        <v>702</v>
      </c>
      <c r="B32" s="237">
        <v>0</v>
      </c>
      <c r="C32" s="237">
        <v>544</v>
      </c>
      <c r="D32" s="237">
        <v>0</v>
      </c>
      <c r="E32" s="237">
        <v>30222</v>
      </c>
    </row>
    <row r="33" spans="1:5">
      <c r="A33" s="236" t="s">
        <v>839</v>
      </c>
      <c r="B33" s="237">
        <v>0</v>
      </c>
      <c r="C33" s="237">
        <v>90</v>
      </c>
      <c r="D33" s="237">
        <v>0</v>
      </c>
      <c r="E33" s="237">
        <v>2684</v>
      </c>
    </row>
    <row r="34" spans="1:5">
      <c r="A34" s="236" t="s">
        <v>704</v>
      </c>
      <c r="B34" s="237">
        <v>0</v>
      </c>
      <c r="C34" s="237">
        <v>300</v>
      </c>
      <c r="D34" s="237">
        <v>0</v>
      </c>
      <c r="E34" s="237">
        <v>13945</v>
      </c>
    </row>
    <row r="35" spans="1:5">
      <c r="A35" s="236" t="s">
        <v>705</v>
      </c>
      <c r="B35" s="237">
        <v>0</v>
      </c>
      <c r="C35" s="237">
        <v>494</v>
      </c>
      <c r="D35" s="237">
        <v>0</v>
      </c>
      <c r="E35" s="237">
        <v>44723</v>
      </c>
    </row>
    <row r="36" spans="1:5">
      <c r="A36" s="236" t="s">
        <v>706</v>
      </c>
      <c r="B36" s="237">
        <v>0</v>
      </c>
      <c r="C36" s="237">
        <v>137</v>
      </c>
      <c r="D36" s="237">
        <v>0</v>
      </c>
      <c r="E36" s="237">
        <v>3534</v>
      </c>
    </row>
    <row r="37" spans="1:5">
      <c r="A37" s="236" t="s">
        <v>707</v>
      </c>
      <c r="B37" s="237">
        <v>0</v>
      </c>
      <c r="C37" s="237">
        <v>288</v>
      </c>
      <c r="D37" s="237">
        <v>0</v>
      </c>
      <c r="E37" s="237">
        <v>5660</v>
      </c>
    </row>
    <row r="38" spans="1:5">
      <c r="A38" s="236" t="s">
        <v>710</v>
      </c>
      <c r="B38" s="237">
        <v>0</v>
      </c>
      <c r="C38" s="237">
        <v>198</v>
      </c>
      <c r="D38" s="237">
        <v>0</v>
      </c>
      <c r="E38" s="237">
        <v>11883</v>
      </c>
    </row>
    <row r="39" spans="1:5">
      <c r="A39" s="236" t="s">
        <v>712</v>
      </c>
      <c r="B39" s="237">
        <v>0</v>
      </c>
      <c r="C39" s="237">
        <v>2612</v>
      </c>
      <c r="D39" s="237">
        <v>0</v>
      </c>
      <c r="E39" s="237">
        <v>54374</v>
      </c>
    </row>
    <row r="40" spans="1:5">
      <c r="A40" s="236" t="s">
        <v>713</v>
      </c>
      <c r="B40" s="237">
        <v>0</v>
      </c>
      <c r="C40" s="237">
        <v>3701</v>
      </c>
      <c r="D40" s="237">
        <v>0</v>
      </c>
      <c r="E40" s="237">
        <v>113206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616B-4866-4A8F-8AE3-27820F2610C8}">
  <dimension ref="A1:P52"/>
  <sheetViews>
    <sheetView topLeftCell="G1" workbookViewId="0">
      <selection activeCell="O12" sqref="O12"/>
    </sheetView>
  </sheetViews>
  <sheetFormatPr defaultColWidth="9" defaultRowHeight="16.5"/>
  <cols>
    <col min="1" max="1" width="9" style="14"/>
    <col min="2" max="2" width="13.125" style="14" bestFit="1" customWidth="1"/>
    <col min="3" max="3" width="15.875" style="14" bestFit="1" customWidth="1"/>
    <col min="4" max="4" width="9.875" style="14" bestFit="1" customWidth="1"/>
    <col min="5" max="5" width="14.75" style="14" bestFit="1" customWidth="1"/>
    <col min="6" max="6" width="9.125" style="14" bestFit="1" customWidth="1"/>
    <col min="7" max="7" width="13.625" style="14" bestFit="1" customWidth="1"/>
    <col min="8" max="8" width="9" style="14"/>
    <col min="9" max="9" width="11" style="14" customWidth="1"/>
    <col min="10" max="10" width="12.25" style="14" bestFit="1" customWidth="1"/>
    <col min="11" max="11" width="15.875" style="14" bestFit="1" customWidth="1"/>
    <col min="12" max="12" width="9.125" style="14" bestFit="1" customWidth="1"/>
    <col min="13" max="13" width="15.875" style="14" bestFit="1" customWidth="1"/>
    <col min="14" max="14" width="17.75" style="14" bestFit="1" customWidth="1"/>
    <col min="15" max="15" width="12.75" style="14" bestFit="1" customWidth="1"/>
    <col min="16" max="16384" width="9" style="14"/>
  </cols>
  <sheetData>
    <row r="1" spans="1:16">
      <c r="A1" s="150" t="s">
        <v>421</v>
      </c>
    </row>
    <row r="2" spans="1:16">
      <c r="A2" s="212" t="s">
        <v>339</v>
      </c>
      <c r="B2" s="212" t="s">
        <v>340</v>
      </c>
      <c r="C2" s="212" t="s">
        <v>341</v>
      </c>
      <c r="D2" s="212" t="s">
        <v>342</v>
      </c>
      <c r="E2" s="212" t="s">
        <v>343</v>
      </c>
      <c r="F2" s="212" t="s">
        <v>344</v>
      </c>
      <c r="G2" s="212" t="s">
        <v>345</v>
      </c>
      <c r="I2" s="174" t="s">
        <v>413</v>
      </c>
      <c r="J2" s="16"/>
    </row>
    <row r="3" spans="1:16">
      <c r="A3" s="146">
        <v>1989</v>
      </c>
      <c r="B3" s="129">
        <v>17234880</v>
      </c>
      <c r="C3" s="129">
        <v>32973999372</v>
      </c>
      <c r="D3" s="129">
        <v>865713</v>
      </c>
      <c r="E3" s="129">
        <v>4331431570</v>
      </c>
      <c r="F3" s="129">
        <v>122857</v>
      </c>
      <c r="G3" s="129">
        <v>240728926</v>
      </c>
      <c r="I3" s="437" t="s">
        <v>320</v>
      </c>
      <c r="J3" s="165" t="s">
        <v>439</v>
      </c>
      <c r="K3" s="165" t="s">
        <v>440</v>
      </c>
      <c r="L3" s="165" t="s">
        <v>241</v>
      </c>
      <c r="M3" s="165" t="s">
        <v>236</v>
      </c>
      <c r="N3" s="165" t="s">
        <v>237</v>
      </c>
      <c r="O3" s="165" t="s">
        <v>319</v>
      </c>
    </row>
    <row r="4" spans="1:16">
      <c r="A4" s="146">
        <v>1990</v>
      </c>
      <c r="B4" s="129">
        <v>20690235</v>
      </c>
      <c r="C4" s="129">
        <v>40415780780</v>
      </c>
      <c r="D4" s="129">
        <v>959590</v>
      </c>
      <c r="E4" s="129">
        <v>4626454321</v>
      </c>
      <c r="F4" s="129">
        <v>139529</v>
      </c>
      <c r="G4" s="129">
        <v>280656064</v>
      </c>
      <c r="I4" s="438"/>
      <c r="J4" s="163">
        <f>INDEX(B:B,MATCH(About!$B$62,$A:$A,0))</f>
        <v>123366608</v>
      </c>
      <c r="K4" s="238">
        <f>INDEX(C:C,MATCH(About!$B$62,$A:$A,0))*N49</f>
        <v>213650889243.91965</v>
      </c>
      <c r="L4" s="163">
        <f>I15</f>
        <v>165.53728489483748</v>
      </c>
      <c r="M4" s="163">
        <f>K4/SYVbT_passenger!$E$4</f>
        <v>259915923.65440348</v>
      </c>
      <c r="N4" s="163">
        <f>M4*About!B64</f>
        <v>161504217.39706033</v>
      </c>
      <c r="O4" s="164">
        <f>N4/L4</f>
        <v>975636.50086239318</v>
      </c>
    </row>
    <row r="5" spans="1:16">
      <c r="A5" s="146">
        <v>1991</v>
      </c>
      <c r="B5" s="129">
        <v>22523737</v>
      </c>
      <c r="C5" s="129">
        <v>42968310434</v>
      </c>
      <c r="D5" s="129">
        <v>986884</v>
      </c>
      <c r="E5" s="129">
        <v>4548580506</v>
      </c>
      <c r="F5" s="129">
        <v>150595</v>
      </c>
      <c r="G5" s="129">
        <v>300479394</v>
      </c>
    </row>
    <row r="6" spans="1:16">
      <c r="A6" s="146">
        <v>1992</v>
      </c>
      <c r="B6" s="129">
        <v>25811748</v>
      </c>
      <c r="C6" s="129">
        <v>50453658708</v>
      </c>
      <c r="D6" s="129">
        <v>1078832</v>
      </c>
      <c r="E6" s="129">
        <v>5062484859</v>
      </c>
      <c r="F6" s="129">
        <v>177627</v>
      </c>
      <c r="G6" s="129">
        <v>347095622</v>
      </c>
      <c r="I6" s="437" t="s">
        <v>337</v>
      </c>
      <c r="J6" s="165" t="s">
        <v>432</v>
      </c>
      <c r="K6" s="165" t="s">
        <v>438</v>
      </c>
      <c r="L6" s="165" t="s">
        <v>338</v>
      </c>
      <c r="M6" s="165" t="s">
        <v>431</v>
      </c>
      <c r="N6" s="165" t="s">
        <v>430</v>
      </c>
      <c r="O6" s="165" t="s">
        <v>319</v>
      </c>
    </row>
    <row r="7" spans="1:16">
      <c r="A7" s="146">
        <v>1993</v>
      </c>
      <c r="B7" s="129">
        <v>27201333</v>
      </c>
      <c r="C7" s="129">
        <v>53138303731</v>
      </c>
      <c r="D7" s="129">
        <v>1223888</v>
      </c>
      <c r="E7" s="129">
        <v>6287703403</v>
      </c>
      <c r="F7" s="129">
        <v>201182</v>
      </c>
      <c r="G7" s="129">
        <v>371002537</v>
      </c>
      <c r="I7" s="438"/>
      <c r="J7" s="163">
        <f>INDEX(D:D,MATCH(About!$B$62,$A:$A,0))*O49</f>
        <v>2885294</v>
      </c>
      <c r="K7" s="238">
        <f>INDEX(E:E,MATCH(About!$B$62,$A:$A,0))*O49</f>
        <v>12356170711.17976</v>
      </c>
      <c r="L7" s="163">
        <f>O12</f>
        <v>63.556825639903742</v>
      </c>
      <c r="M7" s="163">
        <f>K7/SYVbT_freight!E4</f>
        <v>343226964.1994378</v>
      </c>
      <c r="N7" s="163">
        <f>M7*About!B64</f>
        <v>213271281.97156885</v>
      </c>
      <c r="O7" s="164">
        <f>N7/L7</f>
        <v>3355599.9662397844</v>
      </c>
    </row>
    <row r="8" spans="1:16">
      <c r="A8" s="146">
        <v>1994</v>
      </c>
      <c r="B8" s="129">
        <v>31481845</v>
      </c>
      <c r="C8" s="129">
        <v>60636514958</v>
      </c>
      <c r="D8" s="129">
        <v>1418923</v>
      </c>
      <c r="E8" s="129">
        <v>7107986755</v>
      </c>
      <c r="F8" s="129">
        <v>214424</v>
      </c>
      <c r="G8" s="129">
        <v>416475276</v>
      </c>
      <c r="I8" s="14" t="s">
        <v>898</v>
      </c>
    </row>
    <row r="9" spans="1:16">
      <c r="A9" s="146">
        <v>1995</v>
      </c>
      <c r="B9" s="129">
        <v>35611282</v>
      </c>
      <c r="C9" s="129">
        <v>69018847961</v>
      </c>
      <c r="D9" s="129">
        <v>1613469</v>
      </c>
      <c r="E9" s="129">
        <v>8218439669</v>
      </c>
      <c r="F9" s="129">
        <v>234027</v>
      </c>
      <c r="G9" s="129">
        <v>468101617</v>
      </c>
    </row>
    <row r="10" spans="1:16">
      <c r="A10" s="146">
        <v>1996</v>
      </c>
      <c r="B10" s="129">
        <v>39559043</v>
      </c>
      <c r="C10" s="129">
        <v>78775501273</v>
      </c>
      <c r="D10" s="129">
        <v>1782337</v>
      </c>
      <c r="E10" s="129">
        <v>9176947009</v>
      </c>
      <c r="F10" s="129">
        <v>254565</v>
      </c>
      <c r="G10" s="129">
        <v>528539658</v>
      </c>
      <c r="I10" s="150" t="s">
        <v>888</v>
      </c>
      <c r="K10" s="150" t="s">
        <v>882</v>
      </c>
      <c r="L10" s="150" t="s">
        <v>884</v>
      </c>
      <c r="M10" s="14" t="s">
        <v>893</v>
      </c>
      <c r="N10" s="150" t="s">
        <v>894</v>
      </c>
      <c r="O10" s="150" t="s">
        <v>895</v>
      </c>
    </row>
    <row r="11" spans="1:16">
      <c r="A11" s="146">
        <v>1997</v>
      </c>
      <c r="B11" s="129">
        <v>42176926</v>
      </c>
      <c r="C11" s="129">
        <v>83426879836</v>
      </c>
      <c r="D11" s="129">
        <v>2018393</v>
      </c>
      <c r="E11" s="129">
        <v>10700851468</v>
      </c>
      <c r="F11" s="129">
        <v>277048</v>
      </c>
      <c r="G11" s="129">
        <v>591150615</v>
      </c>
      <c r="I11" s="439">
        <v>2019</v>
      </c>
      <c r="J11" s="212" t="s">
        <v>891</v>
      </c>
      <c r="K11" s="130">
        <f>'Air-psgr19'!C4</f>
        <v>523827</v>
      </c>
      <c r="L11" s="130">
        <f>'Air-psgr19'!E4</f>
        <v>1723221</v>
      </c>
      <c r="M11" s="14">
        <f>K11/SUM($K$11:$K$12)</f>
        <v>0.96627258993084442</v>
      </c>
      <c r="N11" s="14">
        <f>L11/SUM($L$11:$L$12)</f>
        <v>0.5972427766459848</v>
      </c>
      <c r="O11" s="14">
        <f>L11/K11</f>
        <v>3.2896757899077369</v>
      </c>
      <c r="P11" s="14" t="s">
        <v>897</v>
      </c>
    </row>
    <row r="12" spans="1:16">
      <c r="A12" s="146">
        <v>1998</v>
      </c>
      <c r="B12" s="129">
        <v>33608780</v>
      </c>
      <c r="C12" s="129">
        <v>62612530888</v>
      </c>
      <c r="D12" s="129">
        <v>1834298</v>
      </c>
      <c r="E12" s="129">
        <v>9400102457</v>
      </c>
      <c r="F12" s="129">
        <v>248188</v>
      </c>
      <c r="G12" s="129">
        <v>489105234</v>
      </c>
      <c r="I12" s="439"/>
      <c r="J12" s="212" t="s">
        <v>892</v>
      </c>
      <c r="K12" s="130">
        <f>'Air-freight19'!C4</f>
        <v>18284</v>
      </c>
      <c r="L12" s="130">
        <f>'Air-freight19'!E4</f>
        <v>1162073</v>
      </c>
      <c r="M12" s="14">
        <f>K12/SUM($K$11:$K$12)</f>
        <v>3.3727410069155576E-2</v>
      </c>
      <c r="N12" s="14">
        <f>L12/SUM($L$11:$L$12)</f>
        <v>0.4027572233540152</v>
      </c>
      <c r="O12" s="14">
        <f>L12/K12</f>
        <v>63.556825639903742</v>
      </c>
    </row>
    <row r="13" spans="1:16">
      <c r="A13" s="146">
        <v>1999</v>
      </c>
      <c r="B13" s="129">
        <v>37894642</v>
      </c>
      <c r="C13" s="129">
        <v>72436042000</v>
      </c>
      <c r="D13" s="129">
        <v>2112703</v>
      </c>
      <c r="E13" s="129">
        <v>10898300517</v>
      </c>
      <c r="F13" s="129">
        <v>246910</v>
      </c>
      <c r="G13" s="129">
        <v>498569299</v>
      </c>
    </row>
    <row r="14" spans="1:16">
      <c r="A14" s="146">
        <v>2000</v>
      </c>
      <c r="B14" s="129">
        <v>41967169</v>
      </c>
      <c r="C14" s="129">
        <v>83955503185</v>
      </c>
      <c r="D14" s="129">
        <v>2383581</v>
      </c>
      <c r="E14" s="129">
        <v>12429945390</v>
      </c>
      <c r="F14" s="129">
        <v>273691</v>
      </c>
      <c r="G14" s="129">
        <v>561891020</v>
      </c>
      <c r="I14" s="150" t="s">
        <v>896</v>
      </c>
      <c r="K14" s="129"/>
    </row>
    <row r="15" spans="1:16">
      <c r="A15" s="146">
        <v>2001</v>
      </c>
      <c r="B15" s="129">
        <v>42161838</v>
      </c>
      <c r="C15" s="129">
        <v>84544146258</v>
      </c>
      <c r="D15" s="129">
        <v>2294864</v>
      </c>
      <c r="E15" s="129">
        <v>11326745204</v>
      </c>
      <c r="F15" s="129">
        <v>283914</v>
      </c>
      <c r="G15" s="129">
        <v>567756515</v>
      </c>
      <c r="I15" s="14">
        <f>K49/J49</f>
        <v>165.53728489483748</v>
      </c>
    </row>
    <row r="16" spans="1:16">
      <c r="A16" s="146">
        <v>2002</v>
      </c>
      <c r="B16" s="129">
        <v>43965144</v>
      </c>
      <c r="C16" s="129">
        <v>92174967638</v>
      </c>
      <c r="D16" s="129">
        <v>2509507</v>
      </c>
      <c r="E16" s="129">
        <v>12606344764</v>
      </c>
      <c r="F16" s="129">
        <v>303032</v>
      </c>
      <c r="G16" s="129">
        <v>641000008</v>
      </c>
    </row>
    <row r="17" spans="1:7">
      <c r="A17" s="146">
        <v>2003</v>
      </c>
      <c r="B17" s="129">
        <v>42838812</v>
      </c>
      <c r="C17" s="129">
        <v>82231019775</v>
      </c>
      <c r="D17" s="129">
        <v>2631359</v>
      </c>
      <c r="E17" s="129">
        <v>11695819583</v>
      </c>
      <c r="F17" s="129">
        <v>310124</v>
      </c>
      <c r="G17" s="129">
        <v>615049182</v>
      </c>
    </row>
    <row r="18" spans="1:7">
      <c r="A18" s="146">
        <v>2004</v>
      </c>
      <c r="B18" s="129">
        <v>45823588</v>
      </c>
      <c r="C18" s="129">
        <v>96583257785</v>
      </c>
      <c r="D18" s="129">
        <v>2978118</v>
      </c>
      <c r="E18" s="129">
        <v>13809815644</v>
      </c>
      <c r="F18" s="129">
        <v>313708</v>
      </c>
      <c r="G18" s="129">
        <v>688719258</v>
      </c>
    </row>
    <row r="19" spans="1:7">
      <c r="A19" s="146">
        <v>2005</v>
      </c>
      <c r="B19" s="129">
        <v>46841441</v>
      </c>
      <c r="C19" s="129">
        <v>101664000000</v>
      </c>
      <c r="D19" s="129">
        <v>2989203</v>
      </c>
      <c r="E19" s="129">
        <v>13597859781</v>
      </c>
      <c r="F19" s="129">
        <v>314128</v>
      </c>
      <c r="G19" s="129">
        <v>697677439</v>
      </c>
    </row>
    <row r="20" spans="1:7">
      <c r="A20" s="146">
        <v>2006</v>
      </c>
      <c r="B20" s="129">
        <v>49888580</v>
      </c>
      <c r="C20" s="129">
        <v>110791000000</v>
      </c>
      <c r="D20" s="129">
        <v>3208783</v>
      </c>
      <c r="E20" s="129">
        <v>14730313293</v>
      </c>
      <c r="F20" s="129">
        <v>340637</v>
      </c>
      <c r="G20" s="129">
        <v>765599846</v>
      </c>
    </row>
    <row r="21" spans="1:7">
      <c r="A21" s="146">
        <v>2007</v>
      </c>
      <c r="B21" s="129">
        <v>53715079</v>
      </c>
      <c r="C21" s="129">
        <v>121308000000</v>
      </c>
      <c r="D21" s="129">
        <v>3454508</v>
      </c>
      <c r="E21" s="129">
        <v>15880213082</v>
      </c>
      <c r="F21" s="129">
        <v>386314</v>
      </c>
      <c r="G21" s="129">
        <v>860482950</v>
      </c>
    </row>
    <row r="22" spans="1:7">
      <c r="A22" s="146">
        <v>2008</v>
      </c>
      <c r="B22" s="129">
        <v>52331770</v>
      </c>
      <c r="C22" s="129">
        <v>121563000000</v>
      </c>
      <c r="D22" s="129">
        <v>3251606</v>
      </c>
      <c r="E22" s="129">
        <v>14948577845</v>
      </c>
      <c r="F22" s="129">
        <v>389484</v>
      </c>
      <c r="G22" s="129">
        <v>868323394</v>
      </c>
    </row>
    <row r="23" spans="1:7">
      <c r="A23" s="146">
        <v>2009</v>
      </c>
      <c r="B23" s="129">
        <v>51574629</v>
      </c>
      <c r="C23" s="129">
        <v>116308000000</v>
      </c>
      <c r="D23" s="129">
        <v>3141146</v>
      </c>
      <c r="E23" s="129">
        <v>14085183952</v>
      </c>
      <c r="F23" s="129">
        <v>379865</v>
      </c>
      <c r="G23" s="129">
        <v>790370533</v>
      </c>
    </row>
    <row r="24" spans="1:7">
      <c r="A24" s="146">
        <v>2010</v>
      </c>
      <c r="B24" s="129">
        <v>60277303</v>
      </c>
      <c r="C24" s="129">
        <v>135771000000</v>
      </c>
      <c r="D24" s="129">
        <v>3588741</v>
      </c>
      <c r="E24" s="129">
        <v>16376088401</v>
      </c>
      <c r="F24" s="129">
        <v>403296</v>
      </c>
      <c r="G24" s="129">
        <v>894995910</v>
      </c>
    </row>
    <row r="25" spans="1:7">
      <c r="A25" s="146">
        <v>2011</v>
      </c>
      <c r="B25" s="129">
        <v>63629352</v>
      </c>
      <c r="C25" s="129">
        <v>148394000000</v>
      </c>
      <c r="D25" s="129">
        <v>3519237</v>
      </c>
      <c r="E25" s="129">
        <v>16021369980</v>
      </c>
      <c r="F25" s="129">
        <v>432080</v>
      </c>
      <c r="G25" s="129">
        <v>984715383</v>
      </c>
    </row>
    <row r="26" spans="1:7">
      <c r="A26" s="146">
        <v>2012</v>
      </c>
      <c r="B26" s="129">
        <v>69304162</v>
      </c>
      <c r="C26" s="129">
        <v>162735000000</v>
      </c>
      <c r="D26" s="129">
        <v>3474057</v>
      </c>
      <c r="E26" s="129">
        <v>15678617167</v>
      </c>
      <c r="F26" s="129">
        <v>469335</v>
      </c>
      <c r="G26" s="129">
        <v>1055832994</v>
      </c>
    </row>
    <row r="27" spans="1:7">
      <c r="A27" s="146">
        <v>2013</v>
      </c>
      <c r="B27" s="129">
        <v>73340261</v>
      </c>
      <c r="C27" s="129">
        <v>172963000000</v>
      </c>
      <c r="D27" s="129">
        <v>3498939</v>
      </c>
      <c r="E27" s="129">
        <v>15657045872</v>
      </c>
      <c r="F27" s="129">
        <v>500738</v>
      </c>
      <c r="G27" s="129">
        <v>1116671455</v>
      </c>
    </row>
    <row r="28" spans="1:7">
      <c r="A28" s="146">
        <v>2014</v>
      </c>
      <c r="B28" s="129">
        <v>81426297</v>
      </c>
      <c r="C28" s="129">
        <v>183113000000</v>
      </c>
      <c r="D28" s="129">
        <v>3693861</v>
      </c>
      <c r="E28" s="129">
        <v>16472894383</v>
      </c>
      <c r="F28" s="129">
        <v>536586</v>
      </c>
      <c r="G28" s="129">
        <v>1151922788</v>
      </c>
    </row>
    <row r="29" spans="1:7">
      <c r="A29" s="146">
        <v>2015</v>
      </c>
      <c r="B29" s="129">
        <v>89414538</v>
      </c>
      <c r="C29" s="129">
        <v>198443000000</v>
      </c>
      <c r="D29" s="129">
        <v>3806553</v>
      </c>
      <c r="E29" s="129">
        <v>16780475856</v>
      </c>
      <c r="F29" s="129">
        <v>570591</v>
      </c>
      <c r="G29" s="129">
        <v>1197486056</v>
      </c>
    </row>
    <row r="30" spans="1:7">
      <c r="A30" s="146">
        <v>2016</v>
      </c>
      <c r="B30" s="129">
        <v>103913732</v>
      </c>
      <c r="C30" s="129">
        <v>224081000000</v>
      </c>
      <c r="D30" s="129">
        <v>4073795</v>
      </c>
      <c r="E30" s="129">
        <v>17477169423</v>
      </c>
      <c r="F30" s="129">
        <v>629853</v>
      </c>
      <c r="G30" s="129">
        <v>1291889819</v>
      </c>
    </row>
    <row r="31" spans="1:7">
      <c r="A31" s="146">
        <v>2017</v>
      </c>
      <c r="B31" s="129">
        <v>109361974</v>
      </c>
      <c r="C31" s="129">
        <v>243641000000</v>
      </c>
      <c r="D31" s="129">
        <v>4321641</v>
      </c>
      <c r="E31" s="129">
        <v>18875336169</v>
      </c>
      <c r="F31" s="129">
        <v>653654</v>
      </c>
      <c r="G31" s="129">
        <v>1365679888</v>
      </c>
    </row>
    <row r="32" spans="1:7">
      <c r="A32" s="146">
        <v>2018</v>
      </c>
      <c r="B32" s="129">
        <v>117525898</v>
      </c>
      <c r="C32" s="129">
        <v>263629000000</v>
      </c>
      <c r="D32" s="129">
        <v>4441975</v>
      </c>
      <c r="E32" s="129">
        <v>19447758637</v>
      </c>
      <c r="F32" s="129">
        <v>691521</v>
      </c>
      <c r="G32" s="129">
        <v>1455708646</v>
      </c>
    </row>
    <row r="33" spans="1:16">
      <c r="A33" s="213">
        <v>2019</v>
      </c>
      <c r="B33" s="209">
        <v>123366608</v>
      </c>
      <c r="C33" s="209">
        <v>281755000000</v>
      </c>
      <c r="D33" s="209">
        <v>4274717</v>
      </c>
      <c r="E33" s="209">
        <v>18306326147</v>
      </c>
      <c r="F33" s="209">
        <v>723592</v>
      </c>
      <c r="G33" s="209">
        <v>1543833004</v>
      </c>
    </row>
    <row r="34" spans="1:16">
      <c r="A34" s="214">
        <v>2020</v>
      </c>
      <c r="B34" s="177">
        <v>39403960</v>
      </c>
      <c r="C34" s="177">
        <v>62314352681</v>
      </c>
      <c r="D34" s="177">
        <v>3252778</v>
      </c>
      <c r="E34" s="177">
        <v>15811549626</v>
      </c>
      <c r="F34" s="177">
        <v>339594</v>
      </c>
      <c r="G34" s="177">
        <v>770665128</v>
      </c>
    </row>
    <row r="35" spans="1:16">
      <c r="A35" s="150" t="s">
        <v>879</v>
      </c>
    </row>
    <row r="37" spans="1:16">
      <c r="A37" s="150" t="s">
        <v>880</v>
      </c>
      <c r="N37" s="150" t="s">
        <v>887</v>
      </c>
    </row>
    <row r="38" spans="1:16">
      <c r="A38" s="212" t="s">
        <v>885</v>
      </c>
      <c r="B38" s="150" t="s">
        <v>881</v>
      </c>
      <c r="C38" s="150" t="s">
        <v>882</v>
      </c>
      <c r="D38" s="150" t="s">
        <v>883</v>
      </c>
      <c r="E38" s="150" t="s">
        <v>884</v>
      </c>
      <c r="H38" s="212" t="s">
        <v>886</v>
      </c>
      <c r="I38" s="150" t="s">
        <v>881</v>
      </c>
      <c r="J38" s="150" t="s">
        <v>882</v>
      </c>
      <c r="K38" s="150" t="s">
        <v>883</v>
      </c>
      <c r="L38" s="150" t="s">
        <v>884</v>
      </c>
      <c r="N38" s="150" t="s">
        <v>883</v>
      </c>
      <c r="O38" s="150" t="s">
        <v>884</v>
      </c>
      <c r="P38" s="14">
        <f>AVERAGE(O39:O49)</f>
        <v>0.72088835996183043</v>
      </c>
    </row>
    <row r="39" spans="1:16">
      <c r="A39" s="146">
        <v>2009</v>
      </c>
      <c r="B39" s="130">
        <f>'Air09'!B4</f>
        <v>58017647</v>
      </c>
      <c r="C39" s="130">
        <f>'Air09'!C4</f>
        <v>292381</v>
      </c>
      <c r="D39" s="130">
        <f>'Air09'!D4</f>
        <v>40387789</v>
      </c>
      <c r="E39" s="130">
        <f>'Air09'!E4</f>
        <v>2378141</v>
      </c>
      <c r="H39" s="146">
        <v>2009</v>
      </c>
      <c r="I39" s="130">
        <f>'Air09'!B11</f>
        <v>16331104</v>
      </c>
      <c r="J39" s="130">
        <f>'Air09'!C11</f>
        <v>87476</v>
      </c>
      <c r="K39" s="130">
        <f>'Air09'!D11</f>
        <v>11579779</v>
      </c>
      <c r="L39" s="130">
        <f>'Air09'!E11</f>
        <v>762743</v>
      </c>
      <c r="N39" s="14">
        <f>D39/SUM(D39,K39)</f>
        <v>0.77717296680114023</v>
      </c>
      <c r="O39" s="14">
        <f>E39/SUM(E39,L39)</f>
        <v>0.75715658394260976</v>
      </c>
    </row>
    <row r="40" spans="1:16">
      <c r="A40" s="146">
        <v>2010</v>
      </c>
      <c r="B40" s="130">
        <f>'Air10'!B4</f>
        <v>61312548</v>
      </c>
      <c r="C40" s="130">
        <f>'Air10'!C4</f>
        <v>307880</v>
      </c>
      <c r="D40" s="130">
        <f>'Air10'!D4</f>
        <v>47237514</v>
      </c>
      <c r="E40" s="130">
        <f>'Air10'!E4</f>
        <v>2666460</v>
      </c>
      <c r="H40" s="146">
        <v>2010</v>
      </c>
      <c r="I40" s="130">
        <f>'Air10'!B12</f>
        <v>17358540</v>
      </c>
      <c r="J40" s="130">
        <f>'Air10'!C12</f>
        <v>95417</v>
      </c>
      <c r="K40" s="130">
        <f>'Air10'!D12</f>
        <v>13495430</v>
      </c>
      <c r="L40" s="130">
        <f>'Air10'!E12</f>
        <v>922120</v>
      </c>
      <c r="N40" s="14">
        <f t="shared" ref="N40:N50" si="0">D40/SUM(D40,K40)</f>
        <v>0.7777906172307405</v>
      </c>
      <c r="O40" s="14">
        <f t="shared" ref="O40:O50" si="1">E40/SUM(E40,L40)</f>
        <v>0.74304042267414971</v>
      </c>
    </row>
    <row r="41" spans="1:16">
      <c r="A41" s="146">
        <v>2011</v>
      </c>
      <c r="B41" s="130">
        <f>'Air11'!B4</f>
        <v>65976928</v>
      </c>
      <c r="C41" s="130">
        <f>'Air11'!C4</f>
        <v>328216</v>
      </c>
      <c r="D41" s="130">
        <f>'Air11'!D4</f>
        <v>49538896</v>
      </c>
      <c r="E41" s="130">
        <f>'Air11'!E4</f>
        <v>2623974</v>
      </c>
      <c r="H41" s="146">
        <v>2011</v>
      </c>
      <c r="I41" s="130">
        <f>'Air11'!B12</f>
        <v>19538208</v>
      </c>
      <c r="J41" s="130">
        <f>'Air11'!C12</f>
        <v>103853</v>
      </c>
      <c r="K41" s="130">
        <f>'Air11'!D12</f>
        <v>14588820</v>
      </c>
      <c r="L41" s="130">
        <f>'Air11'!E12</f>
        <v>895258</v>
      </c>
      <c r="N41" s="14">
        <f t="shared" si="0"/>
        <v>0.77250367064375103</v>
      </c>
      <c r="O41" s="14">
        <f t="shared" si="1"/>
        <v>0.74560983760093114</v>
      </c>
    </row>
    <row r="42" spans="1:16">
      <c r="A42" s="146">
        <v>2012</v>
      </c>
      <c r="B42" s="130">
        <f>'Air12'!B4</f>
        <v>70457208</v>
      </c>
      <c r="C42" s="130">
        <f>'Air12'!C4</f>
        <v>355775</v>
      </c>
      <c r="D42" s="130">
        <f>'Air12'!D4</f>
        <v>53874897</v>
      </c>
      <c r="E42" s="130">
        <f>'Air12'!E4</f>
        <v>2556561</v>
      </c>
      <c r="H42" s="146">
        <v>2012</v>
      </c>
      <c r="I42" s="130">
        <f>'Air12'!B12</f>
        <v>21378152</v>
      </c>
      <c r="J42" s="130">
        <f>'Air12'!C12</f>
        <v>113579</v>
      </c>
      <c r="K42" s="130">
        <f>'Air12'!D12</f>
        <v>15982369</v>
      </c>
      <c r="L42" s="130">
        <f>'Air12'!E12</f>
        <v>917497</v>
      </c>
      <c r="N42" s="14">
        <f t="shared" si="0"/>
        <v>0.77121393499711255</v>
      </c>
      <c r="O42" s="14">
        <f t="shared" si="1"/>
        <v>0.73590049446497441</v>
      </c>
    </row>
    <row r="43" spans="1:16">
      <c r="A43" s="146">
        <v>2013</v>
      </c>
      <c r="B43" s="130">
        <f>'Air13'!B4</f>
        <v>73317719</v>
      </c>
      <c r="C43" s="130">
        <f>'Air13'!C4</f>
        <v>375144</v>
      </c>
      <c r="D43" s="130">
        <f>'Air13'!D4</f>
        <v>56145585</v>
      </c>
      <c r="E43" s="130">
        <f>'Air13'!E4</f>
        <v>2569156</v>
      </c>
      <c r="H43" s="146">
        <v>2013</v>
      </c>
      <c r="I43" s="130">
        <f>'Air13'!B13</f>
        <v>23697631</v>
      </c>
      <c r="J43" s="130">
        <f>'Air13'!C13</f>
        <v>125595</v>
      </c>
      <c r="K43" s="130">
        <f>'Air13'!D13</f>
        <v>17819459</v>
      </c>
      <c r="L43" s="130">
        <f>'Air13'!E13</f>
        <v>929791</v>
      </c>
      <c r="N43" s="14">
        <f t="shared" si="0"/>
        <v>0.7590826958745539</v>
      </c>
      <c r="O43" s="14">
        <f t="shared" si="1"/>
        <v>0.73426548044311613</v>
      </c>
    </row>
    <row r="44" spans="1:16">
      <c r="A44" s="146">
        <v>2014</v>
      </c>
      <c r="B44" s="130">
        <f>'Air14'!B4</f>
        <v>77209328</v>
      </c>
      <c r="C44" s="130">
        <f>'Air14'!C4</f>
        <v>391048</v>
      </c>
      <c r="D44" s="130">
        <f>'Air14'!D4</f>
        <v>60788552</v>
      </c>
      <c r="E44" s="130">
        <f>'Air14'!E4</f>
        <v>2658483</v>
      </c>
      <c r="H44" s="146">
        <v>2014</v>
      </c>
      <c r="I44" s="130">
        <f>'Air14'!B13</f>
        <v>27619692</v>
      </c>
      <c r="J44" s="130">
        <f>'Air14'!C13</f>
        <v>145538</v>
      </c>
      <c r="K44" s="130">
        <f>'Air14'!D13</f>
        <v>21344930</v>
      </c>
      <c r="L44" s="130">
        <f>'Air14'!E13</f>
        <v>1035379</v>
      </c>
      <c r="N44" s="14">
        <f t="shared" si="0"/>
        <v>0.74011901747937581</v>
      </c>
      <c r="O44" s="14">
        <f t="shared" si="1"/>
        <v>0.71970284758878378</v>
      </c>
    </row>
    <row r="45" spans="1:16">
      <c r="A45" s="146">
        <v>2015</v>
      </c>
      <c r="B45" s="130">
        <f>'Air15'!B4</f>
        <v>84329502</v>
      </c>
      <c r="C45" s="130">
        <f>'Air15'!C4</f>
        <v>420486</v>
      </c>
      <c r="D45" s="130">
        <f>'Air15'!D4</f>
        <v>68106765</v>
      </c>
      <c r="E45" s="130">
        <f>'Air15'!E4</f>
        <v>2733091</v>
      </c>
      <c r="H45" s="146">
        <v>2015</v>
      </c>
      <c r="I45" s="130">
        <f>'Air15'!B13</f>
        <v>28582396</v>
      </c>
      <c r="J45" s="130">
        <f>'Air15'!C13</f>
        <v>150111</v>
      </c>
      <c r="K45" s="130">
        <f>'Air15'!D13</f>
        <v>22132049</v>
      </c>
      <c r="L45" s="130">
        <f>'Air15'!E13</f>
        <v>1073461</v>
      </c>
      <c r="N45" s="14">
        <f t="shared" si="0"/>
        <v>0.75473914140759868</v>
      </c>
      <c r="O45" s="14">
        <f t="shared" si="1"/>
        <v>0.71799649656697184</v>
      </c>
    </row>
    <row r="46" spans="1:16">
      <c r="A46" s="146">
        <v>2016</v>
      </c>
      <c r="B46" s="130">
        <f>'Air16'!B4</f>
        <v>94085064</v>
      </c>
      <c r="C46" s="130">
        <f>'Air16'!C4</f>
        <v>464495</v>
      </c>
      <c r="D46" s="130">
        <f>'Air16'!D4</f>
        <v>78956163</v>
      </c>
      <c r="E46" s="130">
        <f>'Air16'!E4</f>
        <v>2886178</v>
      </c>
      <c r="H46" s="146">
        <v>2016</v>
      </c>
      <c r="I46" s="130">
        <f>'Air16'!B14</f>
        <v>31928821</v>
      </c>
      <c r="J46" s="130">
        <f>'Air16'!C14</f>
        <v>165364</v>
      </c>
      <c r="K46" s="130">
        <f>'Air16'!D14</f>
        <v>25933915</v>
      </c>
      <c r="L46" s="130">
        <f>'Air16'!E14</f>
        <v>1187678</v>
      </c>
      <c r="N46" s="14">
        <f t="shared" si="0"/>
        <v>0.75275149476006686</v>
      </c>
      <c r="O46" s="14">
        <f t="shared" si="1"/>
        <v>0.70846343120620858</v>
      </c>
    </row>
    <row r="47" spans="1:16">
      <c r="A47" s="146">
        <v>2017</v>
      </c>
      <c r="B47" s="130">
        <f>'Air17'!B4</f>
        <v>101616268</v>
      </c>
      <c r="C47" s="130">
        <f>'Air17'!C4</f>
        <v>497211</v>
      </c>
      <c r="D47" s="130">
        <f>'Air17'!D4</f>
        <v>85904545</v>
      </c>
      <c r="E47" s="130">
        <f>'Air17'!E4</f>
        <v>3031848</v>
      </c>
      <c r="H47" s="146">
        <v>2017</v>
      </c>
      <c r="I47" s="130">
        <f>'Air17'!B14</f>
        <v>30565057</v>
      </c>
      <c r="J47" s="130">
        <f>'Air17'!C14</f>
        <v>156448</v>
      </c>
      <c r="K47" s="130">
        <f>'Air17'!D14</f>
        <v>24513986</v>
      </c>
      <c r="L47" s="130">
        <f>'Air17'!E14</f>
        <v>1289793</v>
      </c>
      <c r="N47" s="14">
        <f t="shared" si="0"/>
        <v>0.77799029041601719</v>
      </c>
      <c r="O47" s="14">
        <f t="shared" si="1"/>
        <v>0.70155017503767669</v>
      </c>
    </row>
    <row r="48" spans="1:16">
      <c r="A48" s="146">
        <v>2018</v>
      </c>
      <c r="B48" s="130">
        <f>'Air18'!B4</f>
        <v>107630602</v>
      </c>
      <c r="C48" s="130">
        <f>'Air18'!C4</f>
        <v>524690</v>
      </c>
      <c r="D48" s="130">
        <f>'Air18'!D4</f>
        <v>91273049</v>
      </c>
      <c r="E48" s="130">
        <f>'Air18'!E4</f>
        <v>3069951</v>
      </c>
      <c r="H48" s="146">
        <v>2018</v>
      </c>
      <c r="I48" s="130">
        <f>'Air18'!B14</f>
        <v>33353714</v>
      </c>
      <c r="J48" s="130">
        <f>'Air18'!C14</f>
        <v>166833</v>
      </c>
      <c r="K48" s="130">
        <f>'Air18'!D14</f>
        <v>27217444</v>
      </c>
      <c r="L48" s="130">
        <f>'Air18'!E14</f>
        <v>1372050</v>
      </c>
      <c r="N48" s="14">
        <f t="shared" si="0"/>
        <v>0.7702984998129766</v>
      </c>
      <c r="O48" s="14">
        <f t="shared" si="1"/>
        <v>0.69111893491244147</v>
      </c>
    </row>
    <row r="49" spans="1:16">
      <c r="A49" s="146">
        <v>2019</v>
      </c>
      <c r="B49" s="130">
        <f>'Air19'!B4</f>
        <v>111528123</v>
      </c>
      <c r="C49" s="130">
        <f>'Air19'!C4</f>
        <v>542111</v>
      </c>
      <c r="D49" s="130">
        <f>'Air19'!D4</f>
        <v>94245011</v>
      </c>
      <c r="E49" s="130">
        <f>'Air19'!E4</f>
        <v>2885294</v>
      </c>
      <c r="H49" s="146">
        <v>2019</v>
      </c>
      <c r="I49" s="130">
        <f>'Air19'!B15</f>
        <v>37076549</v>
      </c>
      <c r="J49" s="130">
        <f>'Air19'!C15</f>
        <v>181481</v>
      </c>
      <c r="K49" s="130">
        <f>'Air19'!D15</f>
        <v>30041872</v>
      </c>
      <c r="L49" s="130">
        <f>'Air19'!E15</f>
        <v>1389423</v>
      </c>
      <c r="N49" s="239">
        <f t="shared" si="0"/>
        <v>0.75828606145026578</v>
      </c>
      <c r="O49" s="239">
        <f t="shared" si="1"/>
        <v>0.67496725514227018</v>
      </c>
      <c r="P49" s="372" t="s">
        <v>1024</v>
      </c>
    </row>
    <row r="50" spans="1:16">
      <c r="A50" s="146">
        <v>2020</v>
      </c>
      <c r="B50" s="130">
        <f>'Air20'!B4</f>
        <v>48876694</v>
      </c>
      <c r="C50" s="130">
        <f>'Air20'!C4</f>
        <v>275368</v>
      </c>
      <c r="D50" s="130">
        <f>'Air20'!D4</f>
        <v>34952212</v>
      </c>
      <c r="E50" s="130">
        <f>'Air20'!E4</f>
        <v>2346383</v>
      </c>
      <c r="H50" s="146">
        <v>2020</v>
      </c>
      <c r="I50" s="130">
        <f>'Air20'!B15</f>
        <v>8166640</v>
      </c>
      <c r="J50" s="130">
        <f>'Air20'!C15</f>
        <v>64229</v>
      </c>
      <c r="K50" s="130">
        <f>'Air20'!D15</f>
        <v>4719167</v>
      </c>
      <c r="L50" s="130">
        <f>'Air20'!E15</f>
        <v>906395</v>
      </c>
      <c r="N50" s="14">
        <f t="shared" si="0"/>
        <v>0.88104353518943723</v>
      </c>
      <c r="O50" s="14">
        <f t="shared" si="1"/>
        <v>0.72134741442545414</v>
      </c>
    </row>
    <row r="51" spans="1:16">
      <c r="B51" s="130"/>
      <c r="C51" s="130"/>
      <c r="D51" s="130"/>
      <c r="E51" s="130"/>
    </row>
    <row r="52" spans="1:16">
      <c r="C52" s="234"/>
      <c r="D52" s="234"/>
      <c r="E52" s="234"/>
      <c r="F52" s="234"/>
      <c r="G52" s="234"/>
      <c r="H52" s="234"/>
      <c r="I52" s="234"/>
      <c r="J52" s="234"/>
      <c r="K52" s="234"/>
      <c r="L52" s="234"/>
      <c r="M52" s="234"/>
    </row>
  </sheetData>
  <mergeCells count="3">
    <mergeCell ref="I3:I4"/>
    <mergeCell ref="I6:I7"/>
    <mergeCell ref="I11:I12"/>
  </mergeCells>
  <phoneticPr fontId="4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927B-E15C-4D36-8ABD-1C42B56F6AFA}">
  <dimension ref="A2:E12"/>
  <sheetViews>
    <sheetView workbookViewId="0">
      <selection activeCell="D11" sqref="D11"/>
    </sheetView>
  </sheetViews>
  <sheetFormatPr defaultRowHeight="16.5"/>
  <cols>
    <col min="2" max="2" width="22.75" bestFit="1" customWidth="1"/>
  </cols>
  <sheetData>
    <row r="2" spans="1:5">
      <c r="B2" t="s">
        <v>433</v>
      </c>
      <c r="C2">
        <v>72.8</v>
      </c>
      <c r="D2">
        <v>166</v>
      </c>
      <c r="E2" s="188">
        <f>SUMPRODUCT(C2:C3,D2:D3)/SUM(D2:D3)</f>
        <v>46.621976149914822</v>
      </c>
    </row>
    <row r="3" spans="1:5">
      <c r="B3" t="s">
        <v>435</v>
      </c>
      <c r="C3">
        <v>36.299999999999997</v>
      </c>
      <c r="D3">
        <v>421</v>
      </c>
    </row>
    <row r="7" spans="1:5">
      <c r="B7" t="s">
        <v>434</v>
      </c>
      <c r="C7">
        <v>14.3</v>
      </c>
      <c r="D7">
        <v>507</v>
      </c>
      <c r="E7" s="361">
        <f>SUMPRODUCT(C7:C8,D7:D8)/SUM(D7:D8)</f>
        <v>20.033133433283361</v>
      </c>
    </row>
    <row r="8" spans="1:5">
      <c r="B8" t="s">
        <v>436</v>
      </c>
      <c r="C8">
        <v>38.200000000000003</v>
      </c>
      <c r="D8">
        <v>160</v>
      </c>
    </row>
    <row r="11" spans="1:5">
      <c r="A11" s="362"/>
      <c r="B11" s="362"/>
      <c r="C11" s="363"/>
      <c r="D11" s="362"/>
      <c r="E11" s="362"/>
    </row>
    <row r="12" spans="1:5">
      <c r="A12" s="362"/>
      <c r="B12" s="362"/>
      <c r="C12" s="362"/>
      <c r="D12" s="362"/>
      <c r="E12" s="362"/>
    </row>
  </sheetData>
  <phoneticPr fontId="4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94CB9-AF20-413B-B3DE-29EE55FAA3A2}">
  <dimension ref="A1:H15"/>
  <sheetViews>
    <sheetView workbookViewId="0">
      <selection activeCell="B2" sqref="B2:H7"/>
    </sheetView>
  </sheetViews>
  <sheetFormatPr defaultRowHeight="16.5"/>
  <cols>
    <col min="1" max="1" width="16.875" customWidth="1"/>
    <col min="2" max="2" width="24.625" customWidth="1"/>
    <col min="3" max="3" width="20.875" customWidth="1"/>
    <col min="4" max="4" width="18.25" customWidth="1"/>
    <col min="5" max="5" width="17.125" customWidth="1"/>
    <col min="6" max="8" width="23.25" customWidth="1"/>
    <col min="9" max="9" width="10" bestFit="1" customWidth="1"/>
    <col min="10" max="10" width="14.375" bestFit="1" customWidth="1"/>
  </cols>
  <sheetData>
    <row r="1" spans="1:8" ht="33">
      <c r="A1" s="8" t="s">
        <v>225</v>
      </c>
      <c r="B1" s="4" t="s">
        <v>233</v>
      </c>
      <c r="C1" s="4" t="s">
        <v>227</v>
      </c>
      <c r="D1" s="4" t="s">
        <v>228</v>
      </c>
      <c r="E1" s="4" t="s">
        <v>229</v>
      </c>
      <c r="F1" s="4" t="s">
        <v>230</v>
      </c>
      <c r="G1" s="4" t="s">
        <v>231</v>
      </c>
      <c r="H1" s="4" t="s">
        <v>232</v>
      </c>
    </row>
    <row r="2" spans="1:8">
      <c r="A2" s="1" t="s">
        <v>1</v>
      </c>
      <c r="B2" s="5">
        <v>907.7514621547972</v>
      </c>
      <c r="C2" s="5">
        <v>78717.804844023267</v>
      </c>
      <c r="D2" s="5">
        <v>9802.0001098141292</v>
      </c>
      <c r="E2" s="5">
        <v>2691698.325326392</v>
      </c>
      <c r="F2" s="5">
        <v>0</v>
      </c>
      <c r="G2" s="5">
        <v>95017.558547199747</v>
      </c>
      <c r="H2" s="5">
        <v>0</v>
      </c>
    </row>
    <row r="3" spans="1:8">
      <c r="A3" s="1" t="s">
        <v>2</v>
      </c>
      <c r="B3" s="5">
        <v>256.24853784520275</v>
      </c>
      <c r="C3" s="5">
        <v>22221.195155976737</v>
      </c>
      <c r="D3" s="5">
        <v>2766.9998901858708</v>
      </c>
      <c r="E3" s="5">
        <v>759837.67467360804</v>
      </c>
      <c r="F3" s="5">
        <v>0</v>
      </c>
      <c r="G3" s="5">
        <v>26822.441452800264</v>
      </c>
      <c r="H3" s="5">
        <v>0</v>
      </c>
    </row>
    <row r="4" spans="1:8">
      <c r="A4" s="1" t="s">
        <v>3</v>
      </c>
      <c r="B4" s="5">
        <v>0</v>
      </c>
      <c r="C4" s="5">
        <v>0</v>
      </c>
      <c r="D4" s="5">
        <v>0</v>
      </c>
      <c r="E4" s="5">
        <v>36</v>
      </c>
      <c r="F4" s="5">
        <v>0</v>
      </c>
      <c r="G4" s="5">
        <v>0</v>
      </c>
      <c r="H4" s="5">
        <v>0</v>
      </c>
    </row>
    <row r="5" spans="1:8">
      <c r="A5" s="1" t="s">
        <v>4</v>
      </c>
      <c r="B5" s="5">
        <v>87.5</v>
      </c>
      <c r="C5" s="5">
        <v>0</v>
      </c>
      <c r="D5" s="5">
        <v>0</v>
      </c>
      <c r="E5" s="5">
        <v>127</v>
      </c>
      <c r="F5" s="5">
        <v>0</v>
      </c>
      <c r="G5" s="5">
        <v>0</v>
      </c>
      <c r="H5" s="5">
        <v>0</v>
      </c>
    </row>
    <row r="6" spans="1:8">
      <c r="A6" s="1" t="s">
        <v>5</v>
      </c>
      <c r="B6" s="5">
        <v>0</v>
      </c>
      <c r="C6" s="5">
        <v>0</v>
      </c>
      <c r="D6" s="5">
        <v>2.0689959414152108</v>
      </c>
      <c r="E6" s="12">
        <v>1404.1034056820188</v>
      </c>
      <c r="F6" s="5">
        <v>0</v>
      </c>
      <c r="G6" s="5">
        <v>0.82759837656608437</v>
      </c>
      <c r="H6" s="5">
        <v>0</v>
      </c>
    </row>
    <row r="7" spans="1:8">
      <c r="A7" s="1" t="s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  <row r="9" spans="1:8">
      <c r="A9" s="1"/>
      <c r="B9" s="125"/>
      <c r="C9" s="125"/>
      <c r="D9" s="125"/>
      <c r="E9" s="125"/>
      <c r="F9" s="125"/>
      <c r="G9" s="125"/>
      <c r="H9" s="125"/>
    </row>
    <row r="10" spans="1:8">
      <c r="A10" s="125"/>
    </row>
    <row r="11" spans="1:8">
      <c r="A11" s="125"/>
    </row>
    <row r="12" spans="1:8">
      <c r="A12" s="125"/>
    </row>
    <row r="13" spans="1:8">
      <c r="A13" s="125"/>
    </row>
    <row r="14" spans="1:8">
      <c r="A14" s="125"/>
    </row>
    <row r="15" spans="1:8">
      <c r="A15" s="125"/>
    </row>
  </sheetData>
  <phoneticPr fontId="4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81A32-6E09-4536-9605-3AE70AD9D670}">
  <sheetPr>
    <tabColor rgb="FFFF0000"/>
  </sheetPr>
  <dimension ref="A1:FA82"/>
  <sheetViews>
    <sheetView topLeftCell="A40" zoomScale="70" zoomScaleNormal="70" workbookViewId="0">
      <selection activeCell="E73" sqref="E73"/>
    </sheetView>
  </sheetViews>
  <sheetFormatPr defaultColWidth="9" defaultRowHeight="16.5"/>
  <cols>
    <col min="1" max="1" width="9.75" style="14" bestFit="1" customWidth="1"/>
    <col min="2" max="2" width="13.875" style="14" bestFit="1" customWidth="1"/>
    <col min="3" max="3" width="15.125" style="14" bestFit="1" customWidth="1"/>
    <col min="4" max="4" width="18.5" style="14" bestFit="1" customWidth="1"/>
    <col min="5" max="5" width="15.125" style="14" bestFit="1" customWidth="1"/>
    <col min="6" max="6" width="15.875" style="14" bestFit="1" customWidth="1"/>
    <col min="7" max="7" width="14" style="14" bestFit="1" customWidth="1"/>
    <col min="8" max="8" width="12.75" style="14" bestFit="1" customWidth="1"/>
    <col min="9" max="11" width="11.375" style="14" bestFit="1" customWidth="1"/>
    <col min="12" max="12" width="15.75" style="14" customWidth="1"/>
    <col min="13" max="13" width="11.375" style="14" bestFit="1" customWidth="1"/>
    <col min="14" max="15" width="13.5" style="14" bestFit="1" customWidth="1"/>
    <col min="16" max="16" width="12.875" style="14" customWidth="1"/>
    <col min="17" max="17" width="13.5" style="14" bestFit="1" customWidth="1"/>
    <col min="18" max="18" width="21.625" style="14" bestFit="1" customWidth="1"/>
    <col min="19" max="19" width="18.5" style="14" bestFit="1" customWidth="1"/>
    <col min="20" max="20" width="19.75" style="14" customWidth="1"/>
    <col min="21" max="22" width="15.125" style="14" bestFit="1" customWidth="1"/>
    <col min="23" max="23" width="15.75" style="14" bestFit="1" customWidth="1"/>
    <col min="24" max="25" width="15.125" style="14" bestFit="1" customWidth="1"/>
    <col min="26" max="26" width="9.5" style="14" bestFit="1" customWidth="1"/>
    <col min="27" max="28" width="11" style="14" customWidth="1"/>
    <col min="29" max="29" width="15.875" style="14" bestFit="1" customWidth="1"/>
    <col min="30" max="16384" width="9" style="14"/>
  </cols>
  <sheetData>
    <row r="1" spans="1:157">
      <c r="A1" s="150" t="s">
        <v>609</v>
      </c>
    </row>
    <row r="2" spans="1:157" ht="20.100000000000001" customHeight="1">
      <c r="A2" s="205" t="s">
        <v>313</v>
      </c>
      <c r="B2" s="205" t="s">
        <v>314</v>
      </c>
      <c r="C2" s="131" t="s">
        <v>244</v>
      </c>
      <c r="D2" s="131" t="s">
        <v>245</v>
      </c>
      <c r="E2" s="131" t="s">
        <v>246</v>
      </c>
    </row>
    <row r="3" spans="1:157" ht="20.100000000000001" customHeight="1">
      <c r="A3" s="133" t="s">
        <v>288</v>
      </c>
      <c r="B3" s="133" t="s">
        <v>315</v>
      </c>
      <c r="C3" s="134">
        <v>15422957</v>
      </c>
      <c r="D3" s="134">
        <v>16909861</v>
      </c>
      <c r="E3" s="134">
        <v>14625484</v>
      </c>
    </row>
    <row r="4" spans="1:157" ht="20.100000000000001" customHeight="1">
      <c r="A4" s="135" t="s">
        <v>223</v>
      </c>
      <c r="B4" s="133" t="s">
        <v>316</v>
      </c>
      <c r="C4" s="134">
        <v>30912922</v>
      </c>
      <c r="D4" s="134">
        <v>32406255</v>
      </c>
      <c r="E4" s="134">
        <v>31600610</v>
      </c>
    </row>
    <row r="5" spans="1:157" ht="20.100000000000001" customHeight="1">
      <c r="A5" s="135" t="s">
        <v>223</v>
      </c>
      <c r="B5" s="133" t="s">
        <v>317</v>
      </c>
      <c r="C5" s="134">
        <v>839080084</v>
      </c>
      <c r="D5" s="134">
        <v>915668809</v>
      </c>
      <c r="E5" s="134">
        <v>822233607</v>
      </c>
    </row>
    <row r="6" spans="1:157" ht="20.100000000000001" customHeight="1">
      <c r="A6" s="135" t="s">
        <v>223</v>
      </c>
      <c r="B6" s="133" t="s">
        <v>318</v>
      </c>
      <c r="C6" s="134">
        <v>11819784935</v>
      </c>
      <c r="D6" s="134">
        <v>12243233861</v>
      </c>
      <c r="E6" s="134">
        <v>11882156510</v>
      </c>
    </row>
    <row r="7" spans="1:157" ht="20.100000000000001" customHeight="1">
      <c r="A7" s="133" t="s">
        <v>289</v>
      </c>
      <c r="B7" s="133" t="s">
        <v>315</v>
      </c>
      <c r="C7" s="134">
        <v>2776696</v>
      </c>
      <c r="D7" s="134">
        <v>2728147</v>
      </c>
      <c r="E7" s="134" t="s">
        <v>224</v>
      </c>
    </row>
    <row r="8" spans="1:157" ht="20.100000000000001" customHeight="1">
      <c r="A8" s="135" t="s">
        <v>223</v>
      </c>
      <c r="B8" s="133" t="s">
        <v>316</v>
      </c>
      <c r="C8" s="134">
        <v>73000810</v>
      </c>
      <c r="D8" s="134">
        <v>76955719</v>
      </c>
      <c r="E8" s="134">
        <v>85925288</v>
      </c>
    </row>
    <row r="9" spans="1:157" ht="20.100000000000001" customHeight="1">
      <c r="A9" s="135" t="s">
        <v>223</v>
      </c>
      <c r="B9" s="133" t="s">
        <v>317</v>
      </c>
      <c r="C9" s="134" t="s">
        <v>224</v>
      </c>
      <c r="D9" s="134" t="s">
        <v>224</v>
      </c>
      <c r="E9" s="134" t="s">
        <v>224</v>
      </c>
    </row>
    <row r="10" spans="1:157" ht="20.100000000000001" customHeight="1">
      <c r="A10" s="211" t="s">
        <v>223</v>
      </c>
      <c r="B10" s="136" t="s">
        <v>318</v>
      </c>
      <c r="C10" s="134">
        <v>212261253909</v>
      </c>
      <c r="D10" s="134">
        <v>231398037659</v>
      </c>
      <c r="E10" s="134">
        <v>251747144593</v>
      </c>
    </row>
    <row r="11" spans="1:157">
      <c r="A11" s="150" t="s">
        <v>610</v>
      </c>
    </row>
    <row r="12" spans="1:157" ht="20.100000000000001" customHeight="1">
      <c r="A12" s="205" t="s">
        <v>323</v>
      </c>
      <c r="B12" s="205" t="s">
        <v>324</v>
      </c>
      <c r="C12" s="131" t="s">
        <v>463</v>
      </c>
      <c r="D12" s="131" t="s">
        <v>464</v>
      </c>
      <c r="E12" s="131" t="s">
        <v>465</v>
      </c>
      <c r="F12" s="131" t="s">
        <v>466</v>
      </c>
      <c r="G12" s="131" t="s">
        <v>467</v>
      </c>
      <c r="H12" s="131" t="s">
        <v>468</v>
      </c>
      <c r="I12" s="131" t="s">
        <v>469</v>
      </c>
      <c r="J12" s="131" t="s">
        <v>470</v>
      </c>
      <c r="K12" s="131" t="s">
        <v>471</v>
      </c>
      <c r="L12" s="131" t="s">
        <v>472</v>
      </c>
      <c r="M12" s="131" t="s">
        <v>473</v>
      </c>
      <c r="N12" s="131" t="s">
        <v>474</v>
      </c>
      <c r="O12" s="131" t="s">
        <v>475</v>
      </c>
      <c r="P12" s="131" t="s">
        <v>476</v>
      </c>
      <c r="Q12" s="131" t="s">
        <v>477</v>
      </c>
      <c r="R12" s="131" t="s">
        <v>478</v>
      </c>
      <c r="S12" s="131" t="s">
        <v>479</v>
      </c>
      <c r="T12" s="131" t="s">
        <v>480</v>
      </c>
      <c r="U12" s="131" t="s">
        <v>481</v>
      </c>
      <c r="V12" s="131" t="s">
        <v>482</v>
      </c>
      <c r="W12" s="131" t="s">
        <v>483</v>
      </c>
      <c r="X12" s="131" t="s">
        <v>484</v>
      </c>
      <c r="Y12" s="131" t="s">
        <v>485</v>
      </c>
      <c r="Z12" s="131" t="s">
        <v>486</v>
      </c>
      <c r="AA12" s="131" t="s">
        <v>487</v>
      </c>
      <c r="AB12" s="131" t="s">
        <v>488</v>
      </c>
      <c r="AC12" s="131" t="s">
        <v>489</v>
      </c>
      <c r="AD12" s="131" t="s">
        <v>490</v>
      </c>
      <c r="AE12" s="131" t="s">
        <v>491</v>
      </c>
      <c r="AF12" s="131" t="s">
        <v>492</v>
      </c>
      <c r="AG12" s="131" t="s">
        <v>493</v>
      </c>
      <c r="AH12" s="131" t="s">
        <v>494</v>
      </c>
      <c r="AI12" s="131" t="s">
        <v>495</v>
      </c>
      <c r="AJ12" s="131" t="s">
        <v>496</v>
      </c>
      <c r="AK12" s="131" t="s">
        <v>497</v>
      </c>
      <c r="AL12" s="131" t="s">
        <v>498</v>
      </c>
      <c r="AM12" s="131" t="s">
        <v>499</v>
      </c>
      <c r="AN12" s="131" t="s">
        <v>500</v>
      </c>
      <c r="AO12" s="131" t="s">
        <v>501</v>
      </c>
      <c r="AP12" s="131" t="s">
        <v>502</v>
      </c>
      <c r="AQ12" s="131" t="s">
        <v>503</v>
      </c>
      <c r="AR12" s="131" t="s">
        <v>504</v>
      </c>
      <c r="AS12" s="131" t="s">
        <v>505</v>
      </c>
      <c r="AT12" s="131" t="s">
        <v>506</v>
      </c>
      <c r="AU12" s="131" t="s">
        <v>507</v>
      </c>
      <c r="AV12" s="131" t="s">
        <v>508</v>
      </c>
      <c r="AW12" s="131" t="s">
        <v>509</v>
      </c>
      <c r="AX12" s="131" t="s">
        <v>510</v>
      </c>
      <c r="AY12" s="131" t="s">
        <v>511</v>
      </c>
      <c r="AZ12" s="131" t="s">
        <v>512</v>
      </c>
      <c r="BA12" s="131" t="s">
        <v>513</v>
      </c>
      <c r="BB12" s="131" t="s">
        <v>514</v>
      </c>
      <c r="BC12" s="131" t="s">
        <v>515</v>
      </c>
      <c r="BD12" s="131" t="s">
        <v>516</v>
      </c>
      <c r="BE12" s="131" t="s">
        <v>517</v>
      </c>
      <c r="BF12" s="131" t="s">
        <v>518</v>
      </c>
      <c r="BG12" s="131" t="s">
        <v>519</v>
      </c>
      <c r="BH12" s="131" t="s">
        <v>520</v>
      </c>
      <c r="BI12" s="131" t="s">
        <v>521</v>
      </c>
      <c r="BJ12" s="131" t="s">
        <v>522</v>
      </c>
      <c r="BK12" s="131" t="s">
        <v>523</v>
      </c>
      <c r="BL12" s="131" t="s">
        <v>524</v>
      </c>
      <c r="BM12" s="131" t="s">
        <v>525</v>
      </c>
      <c r="BN12" s="131" t="s">
        <v>526</v>
      </c>
      <c r="BO12" s="131" t="s">
        <v>527</v>
      </c>
      <c r="BP12" s="131" t="s">
        <v>528</v>
      </c>
      <c r="BQ12" s="131" t="s">
        <v>529</v>
      </c>
      <c r="BR12" s="131" t="s">
        <v>530</v>
      </c>
      <c r="BS12" s="131" t="s">
        <v>531</v>
      </c>
      <c r="BT12" s="131" t="s">
        <v>532</v>
      </c>
      <c r="BU12" s="131" t="s">
        <v>533</v>
      </c>
      <c r="BV12" s="131" t="s">
        <v>534</v>
      </c>
      <c r="BW12" s="131" t="s">
        <v>535</v>
      </c>
      <c r="BX12" s="131" t="s">
        <v>536</v>
      </c>
      <c r="BY12" s="131" t="s">
        <v>537</v>
      </c>
      <c r="BZ12" s="131" t="s">
        <v>538</v>
      </c>
      <c r="CA12" s="131" t="s">
        <v>539</v>
      </c>
      <c r="CB12" s="131" t="s">
        <v>540</v>
      </c>
      <c r="CC12" s="131" t="s">
        <v>541</v>
      </c>
      <c r="CD12" s="131" t="s">
        <v>542</v>
      </c>
      <c r="CE12" s="131" t="s">
        <v>543</v>
      </c>
      <c r="CF12" s="131" t="s">
        <v>544</v>
      </c>
      <c r="CG12" s="131" t="s">
        <v>545</v>
      </c>
      <c r="CH12" s="131" t="s">
        <v>546</v>
      </c>
      <c r="CI12" s="131" t="s">
        <v>547</v>
      </c>
      <c r="CJ12" s="131" t="s">
        <v>548</v>
      </c>
      <c r="CK12" s="131" t="s">
        <v>549</v>
      </c>
      <c r="CL12" s="131" t="s">
        <v>550</v>
      </c>
      <c r="CM12" s="131" t="s">
        <v>551</v>
      </c>
      <c r="CN12" s="131" t="s">
        <v>552</v>
      </c>
      <c r="CO12" s="131" t="s">
        <v>553</v>
      </c>
      <c r="CP12" s="131" t="s">
        <v>554</v>
      </c>
      <c r="CQ12" s="131" t="s">
        <v>555</v>
      </c>
      <c r="CR12" s="131" t="s">
        <v>556</v>
      </c>
      <c r="CS12" s="131" t="s">
        <v>557</v>
      </c>
      <c r="CT12" s="131" t="s">
        <v>558</v>
      </c>
      <c r="CU12" s="131" t="s">
        <v>559</v>
      </c>
      <c r="CV12" s="131" t="s">
        <v>560</v>
      </c>
      <c r="CW12" s="131" t="s">
        <v>561</v>
      </c>
      <c r="CX12" s="131" t="s">
        <v>562</v>
      </c>
      <c r="CY12" s="131" t="s">
        <v>563</v>
      </c>
      <c r="CZ12" s="131" t="s">
        <v>564</v>
      </c>
      <c r="DA12" s="131" t="s">
        <v>565</v>
      </c>
      <c r="DB12" s="131" t="s">
        <v>566</v>
      </c>
      <c r="DC12" s="131" t="s">
        <v>567</v>
      </c>
      <c r="DD12" s="131" t="s">
        <v>568</v>
      </c>
      <c r="DE12" s="131" t="s">
        <v>569</v>
      </c>
      <c r="DF12" s="131" t="s">
        <v>570</v>
      </c>
      <c r="DG12" s="131" t="s">
        <v>571</v>
      </c>
      <c r="DH12" s="131" t="s">
        <v>572</v>
      </c>
      <c r="DI12" s="131" t="s">
        <v>573</v>
      </c>
      <c r="DJ12" s="131" t="s">
        <v>574</v>
      </c>
      <c r="DK12" s="131" t="s">
        <v>575</v>
      </c>
      <c r="DL12" s="131" t="s">
        <v>576</v>
      </c>
      <c r="DM12" s="131" t="s">
        <v>577</v>
      </c>
      <c r="DN12" s="131" t="s">
        <v>578</v>
      </c>
      <c r="DO12" s="131" t="s">
        <v>579</v>
      </c>
      <c r="DP12" s="131" t="s">
        <v>580</v>
      </c>
      <c r="DQ12" s="131" t="s">
        <v>581</v>
      </c>
      <c r="DR12" s="131" t="s">
        <v>582</v>
      </c>
      <c r="DS12" s="131" t="s">
        <v>583</v>
      </c>
      <c r="DT12" s="131" t="s">
        <v>584</v>
      </c>
      <c r="DU12" s="131" t="s">
        <v>585</v>
      </c>
      <c r="DV12" s="131" t="s">
        <v>586</v>
      </c>
      <c r="DW12" s="131" t="s">
        <v>587</v>
      </c>
      <c r="DX12" s="131" t="s">
        <v>588</v>
      </c>
      <c r="DY12" s="131" t="s">
        <v>589</v>
      </c>
      <c r="DZ12" s="131" t="s">
        <v>590</v>
      </c>
      <c r="EA12" s="131" t="s">
        <v>591</v>
      </c>
      <c r="EB12" s="131" t="s">
        <v>592</v>
      </c>
      <c r="EC12" s="131" t="s">
        <v>593</v>
      </c>
      <c r="ED12" s="131" t="s">
        <v>594</v>
      </c>
      <c r="EE12" s="131" t="s">
        <v>595</v>
      </c>
      <c r="EF12" s="131" t="s">
        <v>596</v>
      </c>
      <c r="EG12" s="131" t="s">
        <v>597</v>
      </c>
      <c r="EH12" s="131" t="s">
        <v>598</v>
      </c>
      <c r="EI12" s="131" t="s">
        <v>599</v>
      </c>
      <c r="EJ12" s="131" t="s">
        <v>600</v>
      </c>
      <c r="EK12" s="131" t="s">
        <v>601</v>
      </c>
      <c r="EL12" s="131" t="s">
        <v>602</v>
      </c>
      <c r="EM12" s="131" t="s">
        <v>603</v>
      </c>
      <c r="EN12" s="131" t="s">
        <v>604</v>
      </c>
      <c r="EO12" s="131" t="s">
        <v>605</v>
      </c>
      <c r="EP12" s="131" t="s">
        <v>325</v>
      </c>
      <c r="EQ12" s="131" t="s">
        <v>326</v>
      </c>
      <c r="ER12" s="131" t="s">
        <v>327</v>
      </c>
      <c r="ES12" s="131" t="s">
        <v>328</v>
      </c>
      <c r="ET12" s="131" t="s">
        <v>329</v>
      </c>
      <c r="EU12" s="131" t="s">
        <v>330</v>
      </c>
      <c r="EV12" s="131" t="s">
        <v>331</v>
      </c>
      <c r="EW12" s="131" t="s">
        <v>332</v>
      </c>
      <c r="EX12" s="131" t="s">
        <v>333</v>
      </c>
      <c r="EY12" s="131" t="s">
        <v>334</v>
      </c>
      <c r="EZ12" s="131" t="s">
        <v>335</v>
      </c>
      <c r="FA12" s="131" t="s">
        <v>336</v>
      </c>
    </row>
    <row r="13" spans="1:157" ht="20.100000000000001" customHeight="1">
      <c r="A13" s="133" t="s">
        <v>288</v>
      </c>
      <c r="B13" s="133" t="s">
        <v>10</v>
      </c>
      <c r="C13" s="134">
        <v>595272320</v>
      </c>
      <c r="D13" s="134">
        <v>621239664</v>
      </c>
      <c r="E13" s="134">
        <v>700344184</v>
      </c>
      <c r="F13" s="134">
        <v>567023195</v>
      </c>
      <c r="G13" s="134">
        <v>567344200</v>
      </c>
      <c r="H13" s="134">
        <v>676315453</v>
      </c>
      <c r="I13" s="134">
        <v>721822691</v>
      </c>
      <c r="J13" s="134">
        <v>772444316</v>
      </c>
      <c r="K13" s="134">
        <v>758315596</v>
      </c>
      <c r="L13" s="134">
        <v>679412965</v>
      </c>
      <c r="M13" s="134">
        <v>687451212</v>
      </c>
      <c r="N13" s="134">
        <v>56080572</v>
      </c>
      <c r="O13" s="134">
        <v>54825756</v>
      </c>
      <c r="P13" s="134">
        <v>57161659</v>
      </c>
      <c r="Q13" s="134">
        <v>58392931</v>
      </c>
      <c r="R13" s="134">
        <v>59763150</v>
      </c>
      <c r="S13" s="134">
        <v>58231499</v>
      </c>
      <c r="T13" s="134">
        <v>56572624</v>
      </c>
      <c r="U13" s="134">
        <v>56112587</v>
      </c>
      <c r="V13" s="134">
        <v>58516121</v>
      </c>
      <c r="W13" s="134">
        <v>60695990</v>
      </c>
      <c r="X13" s="134">
        <v>57461547</v>
      </c>
      <c r="Y13" s="134">
        <v>56964040</v>
      </c>
      <c r="Z13" s="134">
        <v>57950364</v>
      </c>
      <c r="AA13" s="134">
        <v>56843979</v>
      </c>
      <c r="AB13" s="134">
        <v>59369471</v>
      </c>
      <c r="AC13" s="134">
        <v>59748875</v>
      </c>
      <c r="AD13" s="134">
        <v>60576452</v>
      </c>
      <c r="AE13" s="134">
        <v>60353498</v>
      </c>
      <c r="AF13" s="134">
        <v>58712222</v>
      </c>
      <c r="AG13" s="134">
        <v>58989227</v>
      </c>
      <c r="AH13" s="134">
        <v>59909506</v>
      </c>
      <c r="AI13" s="134">
        <v>61361275</v>
      </c>
      <c r="AJ13" s="134">
        <v>60401219</v>
      </c>
      <c r="AK13" s="134">
        <v>61005759</v>
      </c>
      <c r="AL13" s="134">
        <v>59137520</v>
      </c>
      <c r="AM13" s="134">
        <v>57871646</v>
      </c>
      <c r="AN13" s="134">
        <v>61509159</v>
      </c>
      <c r="AO13" s="134">
        <v>61243019</v>
      </c>
      <c r="AP13" s="134">
        <v>61659465</v>
      </c>
      <c r="AQ13" s="134">
        <v>60761327</v>
      </c>
      <c r="AR13" s="134">
        <v>61119952</v>
      </c>
      <c r="AS13" s="134">
        <v>60613441</v>
      </c>
      <c r="AT13" s="134">
        <v>61386242</v>
      </c>
      <c r="AU13" s="134">
        <v>63231326</v>
      </c>
      <c r="AV13" s="134">
        <v>61043684</v>
      </c>
      <c r="AW13" s="134">
        <v>60248745</v>
      </c>
      <c r="AX13" s="134">
        <v>60376458</v>
      </c>
      <c r="AY13" s="134">
        <v>60263022</v>
      </c>
      <c r="AZ13" s="134">
        <v>63981588</v>
      </c>
      <c r="BA13" s="134">
        <v>64934061</v>
      </c>
      <c r="BB13" s="134">
        <v>64980430</v>
      </c>
      <c r="BC13" s="134">
        <v>63467496</v>
      </c>
      <c r="BD13" s="134">
        <v>64075052</v>
      </c>
      <c r="BE13" s="134">
        <v>63653300</v>
      </c>
      <c r="BF13" s="134">
        <v>65302883</v>
      </c>
      <c r="BG13" s="134">
        <v>66251299</v>
      </c>
      <c r="BH13" s="134">
        <v>65174664</v>
      </c>
      <c r="BI13" s="134">
        <v>64218363</v>
      </c>
      <c r="BJ13" s="134">
        <v>63186365</v>
      </c>
      <c r="BK13" s="134">
        <v>61698492</v>
      </c>
      <c r="BL13" s="134">
        <v>66151489</v>
      </c>
      <c r="BM13" s="134">
        <v>66261054</v>
      </c>
      <c r="BN13" s="134">
        <v>66599215</v>
      </c>
      <c r="BO13" s="134">
        <v>65608968</v>
      </c>
      <c r="BP13" s="134">
        <v>64398781</v>
      </c>
      <c r="BQ13" s="134">
        <v>63039418</v>
      </c>
      <c r="BR13" s="134">
        <v>63092034</v>
      </c>
      <c r="BS13" s="134">
        <v>64569496</v>
      </c>
      <c r="BT13" s="134">
        <v>67948877</v>
      </c>
      <c r="BU13" s="134">
        <v>65476342</v>
      </c>
      <c r="BV13" s="134">
        <v>62449195</v>
      </c>
      <c r="BW13" s="134">
        <v>61414084</v>
      </c>
      <c r="BX13" s="134">
        <v>66930418</v>
      </c>
      <c r="BY13" s="134">
        <v>66790386</v>
      </c>
      <c r="BZ13" s="134">
        <v>66599215</v>
      </c>
      <c r="CA13" s="134">
        <v>65945949</v>
      </c>
      <c r="CB13" s="134">
        <v>64398781</v>
      </c>
      <c r="CC13" s="134">
        <v>64218520</v>
      </c>
      <c r="CD13" s="134">
        <v>64814588</v>
      </c>
      <c r="CE13" s="134">
        <v>67411275</v>
      </c>
      <c r="CF13" s="134">
        <v>67948877</v>
      </c>
      <c r="CG13" s="134">
        <v>65839355</v>
      </c>
      <c r="CH13" s="134">
        <v>73499611</v>
      </c>
      <c r="CI13" s="134">
        <v>70705774</v>
      </c>
      <c r="CJ13" s="134">
        <v>76095011</v>
      </c>
      <c r="CK13" s="134">
        <v>75129468</v>
      </c>
      <c r="CL13" s="134">
        <v>75656868</v>
      </c>
      <c r="CM13" s="134">
        <v>75000303</v>
      </c>
      <c r="CN13" s="134">
        <v>75662591</v>
      </c>
      <c r="CO13" s="134">
        <v>70169560</v>
      </c>
      <c r="CP13" s="134">
        <v>74179930</v>
      </c>
      <c r="CQ13" s="134">
        <v>77235033</v>
      </c>
      <c r="CR13" s="134">
        <v>75518286</v>
      </c>
      <c r="CS13" s="134">
        <v>73697996</v>
      </c>
      <c r="CT13" s="134">
        <v>71911186</v>
      </c>
      <c r="CU13" s="134">
        <v>68666202</v>
      </c>
      <c r="CV13" s="134">
        <v>75157956</v>
      </c>
      <c r="CW13" s="134">
        <v>73568520</v>
      </c>
      <c r="CX13" s="134">
        <v>74040388</v>
      </c>
      <c r="CY13" s="134">
        <v>75119275</v>
      </c>
      <c r="CZ13" s="134">
        <v>72126529</v>
      </c>
      <c r="DA13" s="134">
        <v>72852462</v>
      </c>
      <c r="DB13" s="134">
        <v>72402080</v>
      </c>
      <c r="DC13" s="134">
        <v>75075197</v>
      </c>
      <c r="DD13" s="134">
        <v>75000710</v>
      </c>
      <c r="DE13" s="134">
        <v>73391281</v>
      </c>
      <c r="DF13" s="134">
        <v>63388271</v>
      </c>
      <c r="DG13" s="134">
        <v>60760139</v>
      </c>
      <c r="DH13" s="134">
        <v>65784262</v>
      </c>
      <c r="DI13" s="134">
        <v>65547050</v>
      </c>
      <c r="DJ13" s="134">
        <v>65998059</v>
      </c>
      <c r="DK13" s="134">
        <v>66001586</v>
      </c>
      <c r="DL13" s="134">
        <v>65240808</v>
      </c>
      <c r="DM13" s="134">
        <v>63564047</v>
      </c>
      <c r="DN13" s="134">
        <v>64859702</v>
      </c>
      <c r="DO13" s="134">
        <v>77642564</v>
      </c>
      <c r="DP13" s="134">
        <v>76890838</v>
      </c>
      <c r="DQ13" s="134">
        <v>74950685</v>
      </c>
      <c r="DR13" s="134" t="s">
        <v>224</v>
      </c>
      <c r="DS13" s="134" t="s">
        <v>224</v>
      </c>
      <c r="DT13" s="134" t="s">
        <v>224</v>
      </c>
      <c r="DU13" s="134" t="s">
        <v>224</v>
      </c>
      <c r="DV13" s="134" t="s">
        <v>224</v>
      </c>
      <c r="DW13" s="134" t="s">
        <v>224</v>
      </c>
      <c r="DX13" s="134" t="s">
        <v>224</v>
      </c>
      <c r="DY13" s="134" t="s">
        <v>224</v>
      </c>
      <c r="DZ13" s="134" t="s">
        <v>224</v>
      </c>
      <c r="EA13" s="134" t="s">
        <v>224</v>
      </c>
      <c r="EB13" s="134" t="s">
        <v>224</v>
      </c>
      <c r="EC13" s="134" t="s">
        <v>224</v>
      </c>
      <c r="ED13" s="134" t="s">
        <v>224</v>
      </c>
      <c r="EE13" s="134" t="s">
        <v>224</v>
      </c>
      <c r="EF13" s="134" t="s">
        <v>224</v>
      </c>
      <c r="EG13" s="134" t="s">
        <v>224</v>
      </c>
      <c r="EH13" s="134" t="s">
        <v>224</v>
      </c>
      <c r="EI13" s="134" t="s">
        <v>224</v>
      </c>
      <c r="EJ13" s="134" t="s">
        <v>224</v>
      </c>
      <c r="EK13" s="134" t="s">
        <v>224</v>
      </c>
      <c r="EL13" s="134" t="s">
        <v>224</v>
      </c>
      <c r="EM13" s="134" t="s">
        <v>224</v>
      </c>
      <c r="EN13" s="134" t="s">
        <v>224</v>
      </c>
      <c r="EO13" s="134" t="s">
        <v>224</v>
      </c>
      <c r="EP13" s="134" t="s">
        <v>224</v>
      </c>
      <c r="EQ13" s="134" t="s">
        <v>224</v>
      </c>
      <c r="ER13" s="134" t="s">
        <v>224</v>
      </c>
      <c r="ES13" s="134" t="s">
        <v>224</v>
      </c>
      <c r="ET13" s="134" t="s">
        <v>224</v>
      </c>
      <c r="EU13" s="134" t="s">
        <v>224</v>
      </c>
      <c r="EV13" s="134" t="s">
        <v>224</v>
      </c>
      <c r="EW13" s="134" t="s">
        <v>224</v>
      </c>
      <c r="EX13" s="134" t="s">
        <v>224</v>
      </c>
      <c r="EY13" s="134" t="s">
        <v>224</v>
      </c>
      <c r="EZ13" s="134" t="s">
        <v>224</v>
      </c>
      <c r="FA13" s="134" t="s">
        <v>224</v>
      </c>
    </row>
    <row r="14" spans="1:157" ht="20.100000000000001" customHeight="1">
      <c r="A14" s="135" t="s">
        <v>223</v>
      </c>
      <c r="B14" s="133" t="s">
        <v>287</v>
      </c>
      <c r="C14" s="134">
        <v>57469339</v>
      </c>
      <c r="D14" s="134">
        <v>53526971</v>
      </c>
      <c r="E14" s="134">
        <v>53827826</v>
      </c>
      <c r="F14" s="134">
        <v>43344820</v>
      </c>
      <c r="G14" s="134">
        <v>42080967</v>
      </c>
      <c r="H14" s="134">
        <v>45239839</v>
      </c>
      <c r="I14" s="134">
        <v>45122332</v>
      </c>
      <c r="J14" s="134">
        <v>45732629</v>
      </c>
      <c r="K14" s="134">
        <v>47109970</v>
      </c>
      <c r="L14" s="134">
        <v>44512467</v>
      </c>
      <c r="M14" s="134">
        <v>41668802</v>
      </c>
      <c r="N14" s="134">
        <v>3000989</v>
      </c>
      <c r="O14" s="134">
        <v>3058861</v>
      </c>
      <c r="P14" s="134">
        <v>3632421</v>
      </c>
      <c r="Q14" s="134">
        <v>3874998</v>
      </c>
      <c r="R14" s="134">
        <v>3908205</v>
      </c>
      <c r="S14" s="134">
        <v>3723069</v>
      </c>
      <c r="T14" s="134">
        <v>3035281</v>
      </c>
      <c r="U14" s="134">
        <v>3582249</v>
      </c>
      <c r="V14" s="134">
        <v>3865430</v>
      </c>
      <c r="W14" s="134">
        <v>3663709</v>
      </c>
      <c r="X14" s="134">
        <v>4060887</v>
      </c>
      <c r="Y14" s="134">
        <v>3934481</v>
      </c>
      <c r="Z14" s="134">
        <v>3319263</v>
      </c>
      <c r="AA14" s="134">
        <v>2974849</v>
      </c>
      <c r="AB14" s="134">
        <v>3914912</v>
      </c>
      <c r="AC14" s="134">
        <v>3924455</v>
      </c>
      <c r="AD14" s="134">
        <v>3895774</v>
      </c>
      <c r="AE14" s="134">
        <v>3703086</v>
      </c>
      <c r="AF14" s="134">
        <v>3476431</v>
      </c>
      <c r="AG14" s="134">
        <v>3444103</v>
      </c>
      <c r="AH14" s="134">
        <v>3235934</v>
      </c>
      <c r="AI14" s="134">
        <v>4309512</v>
      </c>
      <c r="AJ14" s="134">
        <v>4230336</v>
      </c>
      <c r="AK14" s="134">
        <v>4133124</v>
      </c>
      <c r="AL14" s="134">
        <v>3419470</v>
      </c>
      <c r="AM14" s="134">
        <v>3070669</v>
      </c>
      <c r="AN14" s="134">
        <v>4048396</v>
      </c>
      <c r="AO14" s="134">
        <v>4239781</v>
      </c>
      <c r="AP14" s="134">
        <v>4417651</v>
      </c>
      <c r="AQ14" s="134">
        <v>4193394</v>
      </c>
      <c r="AR14" s="134">
        <v>4096204</v>
      </c>
      <c r="AS14" s="134">
        <v>3809148</v>
      </c>
      <c r="AT14" s="134">
        <v>3863128</v>
      </c>
      <c r="AU14" s="134">
        <v>4322695</v>
      </c>
      <c r="AV14" s="134">
        <v>3876609</v>
      </c>
      <c r="AW14" s="134">
        <v>3448543</v>
      </c>
      <c r="AX14" s="134">
        <v>2346643</v>
      </c>
      <c r="AY14" s="134">
        <v>2621495</v>
      </c>
      <c r="AZ14" s="134">
        <v>3438099</v>
      </c>
      <c r="BA14" s="134">
        <v>3572112</v>
      </c>
      <c r="BB14" s="134">
        <v>3666841</v>
      </c>
      <c r="BC14" s="134">
        <v>3591244</v>
      </c>
      <c r="BD14" s="134">
        <v>3280017</v>
      </c>
      <c r="BE14" s="134">
        <v>3288796</v>
      </c>
      <c r="BF14" s="134">
        <v>3463755</v>
      </c>
      <c r="BG14" s="134">
        <v>3426784</v>
      </c>
      <c r="BH14" s="134">
        <v>2994640</v>
      </c>
      <c r="BI14" s="134">
        <v>3207278</v>
      </c>
      <c r="BJ14" s="134">
        <v>2588834</v>
      </c>
      <c r="BK14" s="134">
        <v>2590708</v>
      </c>
      <c r="BL14" s="134">
        <v>3510581</v>
      </c>
      <c r="BM14" s="134">
        <v>3754282</v>
      </c>
      <c r="BN14" s="134">
        <v>3674631</v>
      </c>
      <c r="BO14" s="134">
        <v>3651789</v>
      </c>
      <c r="BP14" s="134">
        <v>3360575</v>
      </c>
      <c r="BQ14" s="134">
        <v>3058764</v>
      </c>
      <c r="BR14" s="134">
        <v>2759690</v>
      </c>
      <c r="BS14" s="134">
        <v>3460098</v>
      </c>
      <c r="BT14" s="134">
        <v>3542581</v>
      </c>
      <c r="BU14" s="134">
        <v>3264912</v>
      </c>
      <c r="BV14" s="134">
        <v>2567788</v>
      </c>
      <c r="BW14" s="134">
        <v>2470106</v>
      </c>
      <c r="BX14" s="134">
        <v>3675088</v>
      </c>
      <c r="BY14" s="134">
        <v>3757325</v>
      </c>
      <c r="BZ14" s="134">
        <v>3674631</v>
      </c>
      <c r="CA14" s="134">
        <v>3605712</v>
      </c>
      <c r="CB14" s="134">
        <v>3360575</v>
      </c>
      <c r="CC14" s="134">
        <v>3227277</v>
      </c>
      <c r="CD14" s="134">
        <v>3298026</v>
      </c>
      <c r="CE14" s="134">
        <v>3635453</v>
      </c>
      <c r="CF14" s="134">
        <v>3542581</v>
      </c>
      <c r="CG14" s="134">
        <v>3469153</v>
      </c>
      <c r="CH14" s="134">
        <v>2689011</v>
      </c>
      <c r="CI14" s="134">
        <v>2933099</v>
      </c>
      <c r="CJ14" s="134">
        <v>3605834</v>
      </c>
      <c r="CK14" s="134">
        <v>3557410</v>
      </c>
      <c r="CL14" s="134">
        <v>3807425</v>
      </c>
      <c r="CM14" s="134">
        <v>3731815</v>
      </c>
      <c r="CN14" s="134">
        <v>3506984</v>
      </c>
      <c r="CO14" s="134">
        <v>3046520</v>
      </c>
      <c r="CP14" s="134">
        <v>3080181</v>
      </c>
      <c r="CQ14" s="134">
        <v>3592844</v>
      </c>
      <c r="CR14" s="134">
        <v>3592416</v>
      </c>
      <c r="CS14" s="134">
        <v>3165389</v>
      </c>
      <c r="CT14" s="134">
        <v>2909186</v>
      </c>
      <c r="CU14" s="134">
        <v>2717781</v>
      </c>
      <c r="CV14" s="134">
        <v>3639589</v>
      </c>
      <c r="CW14" s="134">
        <v>3807309</v>
      </c>
      <c r="CX14" s="134">
        <v>3984681</v>
      </c>
      <c r="CY14" s="134">
        <v>3565386</v>
      </c>
      <c r="CZ14" s="134">
        <v>3437362</v>
      </c>
      <c r="DA14" s="134">
        <v>3313811</v>
      </c>
      <c r="DB14" s="134">
        <v>3026376</v>
      </c>
      <c r="DC14" s="134">
        <v>3689731</v>
      </c>
      <c r="DD14" s="134">
        <v>3587288</v>
      </c>
      <c r="DE14" s="134">
        <v>2143770</v>
      </c>
      <c r="DF14" s="134">
        <v>2534655</v>
      </c>
      <c r="DG14" s="134">
        <v>2602407</v>
      </c>
      <c r="DH14" s="134">
        <v>3382487</v>
      </c>
      <c r="DI14" s="134">
        <v>3450747</v>
      </c>
      <c r="DJ14" s="134">
        <v>3362860</v>
      </c>
      <c r="DK14" s="134">
        <v>3210007</v>
      </c>
      <c r="DL14" s="134">
        <v>3314427</v>
      </c>
      <c r="DM14" s="134">
        <v>3008351</v>
      </c>
      <c r="DN14" s="134">
        <v>2892065</v>
      </c>
      <c r="DO14" s="134">
        <v>3346101</v>
      </c>
      <c r="DP14" s="134">
        <v>3224812</v>
      </c>
      <c r="DQ14" s="134">
        <v>3050249</v>
      </c>
      <c r="DR14" s="134">
        <v>2734664</v>
      </c>
      <c r="DS14" s="134">
        <v>2344967</v>
      </c>
      <c r="DT14" s="134">
        <v>3251254</v>
      </c>
      <c r="DU14" s="134">
        <v>3250163</v>
      </c>
      <c r="DV14" s="134">
        <v>3217001</v>
      </c>
      <c r="DW14" s="134">
        <v>3287290</v>
      </c>
      <c r="DX14" s="134">
        <v>3274352</v>
      </c>
      <c r="DY14" s="134">
        <v>3014957</v>
      </c>
      <c r="DZ14" s="134">
        <v>2907906</v>
      </c>
      <c r="EA14" s="134">
        <v>3409564</v>
      </c>
      <c r="EB14" s="134">
        <v>3167879</v>
      </c>
      <c r="EC14" s="134">
        <v>3233645</v>
      </c>
      <c r="ED14" s="134">
        <v>2622245</v>
      </c>
      <c r="EE14" s="134">
        <v>2471111</v>
      </c>
      <c r="EF14" s="134">
        <v>3286290</v>
      </c>
      <c r="EG14" s="134">
        <v>3118350</v>
      </c>
      <c r="EH14" s="134">
        <v>3188390</v>
      </c>
      <c r="EI14" s="134">
        <v>3105722</v>
      </c>
      <c r="EJ14" s="134">
        <v>3009458</v>
      </c>
      <c r="EK14" s="134">
        <v>3024435</v>
      </c>
      <c r="EL14" s="134">
        <v>2527637</v>
      </c>
      <c r="EM14" s="134">
        <v>1883222</v>
      </c>
      <c r="EN14" s="134">
        <v>1898447</v>
      </c>
      <c r="EO14" s="134">
        <v>2420134</v>
      </c>
      <c r="EP14" s="134">
        <v>2151665</v>
      </c>
      <c r="EQ14" s="134">
        <v>2402359</v>
      </c>
      <c r="ER14" s="134">
        <v>2905635</v>
      </c>
      <c r="ES14" s="134">
        <v>2868040</v>
      </c>
      <c r="ET14" s="134">
        <v>2890323</v>
      </c>
      <c r="EU14" s="134">
        <v>2775104</v>
      </c>
      <c r="EV14" s="134">
        <v>2525432</v>
      </c>
      <c r="EW14" s="134">
        <v>2505020</v>
      </c>
      <c r="EX14" s="134">
        <v>2783365</v>
      </c>
      <c r="EY14" s="134">
        <v>2429279</v>
      </c>
      <c r="EZ14" s="134">
        <v>2860412</v>
      </c>
      <c r="FA14" s="134">
        <v>2572976</v>
      </c>
    </row>
    <row r="15" spans="1:157" ht="20.100000000000001" customHeight="1">
      <c r="A15" s="135" t="s">
        <v>223</v>
      </c>
      <c r="B15" s="133" t="s">
        <v>606</v>
      </c>
      <c r="C15" s="134">
        <v>408368372</v>
      </c>
      <c r="D15" s="134">
        <v>426413788</v>
      </c>
      <c r="E15" s="134">
        <v>499083185</v>
      </c>
      <c r="F15" s="134">
        <v>408136000</v>
      </c>
      <c r="G15" s="134">
        <v>401177000</v>
      </c>
      <c r="H15" s="134">
        <v>496174000</v>
      </c>
      <c r="I15" s="134">
        <v>535725000</v>
      </c>
      <c r="J15" s="134">
        <v>584573000</v>
      </c>
      <c r="K15" s="134">
        <v>565456252</v>
      </c>
      <c r="L15" s="134">
        <v>518855708</v>
      </c>
      <c r="M15" s="134">
        <v>526000147</v>
      </c>
      <c r="N15" s="134">
        <v>43309017</v>
      </c>
      <c r="O15" s="134">
        <v>42999385</v>
      </c>
      <c r="P15" s="134">
        <v>43331211</v>
      </c>
      <c r="Q15" s="134">
        <v>44167415</v>
      </c>
      <c r="R15" s="134">
        <v>44953006</v>
      </c>
      <c r="S15" s="134">
        <v>44307841</v>
      </c>
      <c r="T15" s="134">
        <v>44590048</v>
      </c>
      <c r="U15" s="134">
        <v>42994062</v>
      </c>
      <c r="V15" s="134">
        <v>44998500</v>
      </c>
      <c r="W15" s="134">
        <v>46923771</v>
      </c>
      <c r="X15" s="134">
        <v>43894486</v>
      </c>
      <c r="Y15" s="134">
        <v>42809129</v>
      </c>
      <c r="Z15" s="134">
        <v>44917100</v>
      </c>
      <c r="AA15" s="134">
        <v>45536597</v>
      </c>
      <c r="AB15" s="134">
        <v>45393591</v>
      </c>
      <c r="AC15" s="134">
        <v>45896203</v>
      </c>
      <c r="AD15" s="134">
        <v>45883342</v>
      </c>
      <c r="AE15" s="134">
        <v>45791504</v>
      </c>
      <c r="AF15" s="134">
        <v>45166795</v>
      </c>
      <c r="AG15" s="134">
        <v>45996175</v>
      </c>
      <c r="AH15" s="134">
        <v>46793231</v>
      </c>
      <c r="AI15" s="134">
        <v>46658698</v>
      </c>
      <c r="AJ15" s="134">
        <v>45879483</v>
      </c>
      <c r="AK15" s="134">
        <v>46351752</v>
      </c>
      <c r="AL15" s="134">
        <v>45005689</v>
      </c>
      <c r="AM15" s="134">
        <v>45383050</v>
      </c>
      <c r="AN15" s="134">
        <v>46158592</v>
      </c>
      <c r="AO15" s="134">
        <v>46365508</v>
      </c>
      <c r="AP15" s="134">
        <v>46236132</v>
      </c>
      <c r="AQ15" s="134">
        <v>46508927</v>
      </c>
      <c r="AR15" s="134">
        <v>46595820</v>
      </c>
      <c r="AS15" s="134">
        <v>46217048</v>
      </c>
      <c r="AT15" s="134">
        <v>47109328</v>
      </c>
      <c r="AU15" s="134">
        <v>47749743</v>
      </c>
      <c r="AV15" s="134">
        <v>46588269</v>
      </c>
      <c r="AW15" s="134">
        <v>45883239</v>
      </c>
      <c r="AX15" s="134">
        <v>49031750</v>
      </c>
      <c r="AY15" s="134">
        <v>48637977</v>
      </c>
      <c r="AZ15" s="134">
        <v>50507890</v>
      </c>
      <c r="BA15" s="134">
        <v>50561749</v>
      </c>
      <c r="BB15" s="134">
        <v>50283974</v>
      </c>
      <c r="BC15" s="134">
        <v>50536333</v>
      </c>
      <c r="BD15" s="134">
        <v>50545724</v>
      </c>
      <c r="BE15" s="134">
        <v>50508637</v>
      </c>
      <c r="BF15" s="134">
        <v>51113078</v>
      </c>
      <c r="BG15" s="134">
        <v>52749720</v>
      </c>
      <c r="BH15" s="134">
        <v>51842183</v>
      </c>
      <c r="BI15" s="134">
        <v>51161310</v>
      </c>
      <c r="BJ15" s="134">
        <v>51144826</v>
      </c>
      <c r="BK15" s="134">
        <v>50764398</v>
      </c>
      <c r="BL15" s="134">
        <v>52494343</v>
      </c>
      <c r="BM15" s="134">
        <v>51933773</v>
      </c>
      <c r="BN15" s="134">
        <v>51570955</v>
      </c>
      <c r="BO15" s="134">
        <v>51673455</v>
      </c>
      <c r="BP15" s="134">
        <v>51564008</v>
      </c>
      <c r="BQ15" s="134">
        <v>50778956</v>
      </c>
      <c r="BR15" s="134">
        <v>51643833</v>
      </c>
      <c r="BS15" s="134">
        <v>50654485</v>
      </c>
      <c r="BT15" s="134">
        <v>53367764</v>
      </c>
      <c r="BU15" s="134">
        <v>51938851</v>
      </c>
      <c r="BV15" s="134">
        <v>51385569</v>
      </c>
      <c r="BW15" s="134">
        <v>51228249</v>
      </c>
      <c r="BX15" s="134">
        <v>53250737</v>
      </c>
      <c r="BY15" s="134">
        <v>53084007</v>
      </c>
      <c r="BZ15" s="134">
        <v>51570955</v>
      </c>
      <c r="CA15" s="134">
        <v>52801732</v>
      </c>
      <c r="CB15" s="134">
        <v>51564008</v>
      </c>
      <c r="CC15" s="134">
        <v>52036861</v>
      </c>
      <c r="CD15" s="134">
        <v>53242152</v>
      </c>
      <c r="CE15" s="134">
        <v>54581252</v>
      </c>
      <c r="CF15" s="134">
        <v>53367764</v>
      </c>
      <c r="CG15" s="134">
        <v>53061782</v>
      </c>
      <c r="CH15" s="134">
        <v>60713663</v>
      </c>
      <c r="CI15" s="134">
        <v>58612836</v>
      </c>
      <c r="CJ15" s="134">
        <v>62357794</v>
      </c>
      <c r="CK15" s="134">
        <v>61080942</v>
      </c>
      <c r="CL15" s="134">
        <v>61000089</v>
      </c>
      <c r="CM15" s="134">
        <v>60632011</v>
      </c>
      <c r="CN15" s="134">
        <v>61612048</v>
      </c>
      <c r="CO15" s="134">
        <v>58311599</v>
      </c>
      <c r="CP15" s="134">
        <v>61772727</v>
      </c>
      <c r="CQ15" s="134">
        <v>63544929</v>
      </c>
      <c r="CR15" s="134">
        <v>61876148</v>
      </c>
      <c r="CS15" s="134">
        <v>61404133</v>
      </c>
      <c r="CT15" s="134">
        <v>60029250</v>
      </c>
      <c r="CU15" s="134">
        <v>57908135</v>
      </c>
      <c r="CV15" s="134">
        <v>61166814</v>
      </c>
      <c r="CW15" s="134">
        <v>59638979</v>
      </c>
      <c r="CX15" s="134">
        <v>59697842</v>
      </c>
      <c r="CY15" s="134">
        <v>60980828</v>
      </c>
      <c r="CZ15" s="134">
        <v>58956901</v>
      </c>
      <c r="DA15" s="134">
        <v>59527635</v>
      </c>
      <c r="DB15" s="134">
        <v>60060883</v>
      </c>
      <c r="DC15" s="134">
        <v>61429400</v>
      </c>
      <c r="DD15" s="134">
        <v>60949738</v>
      </c>
      <c r="DE15" s="134">
        <v>61030314</v>
      </c>
      <c r="DF15" s="134">
        <v>50748466</v>
      </c>
      <c r="DG15" s="134">
        <v>49637621</v>
      </c>
      <c r="DH15" s="134">
        <v>51867701</v>
      </c>
      <c r="DI15" s="134">
        <v>51806931</v>
      </c>
      <c r="DJ15" s="134">
        <v>52512074</v>
      </c>
      <c r="DK15" s="134">
        <v>52459071</v>
      </c>
      <c r="DL15" s="134">
        <v>52125555</v>
      </c>
      <c r="DM15" s="134">
        <v>51221834</v>
      </c>
      <c r="DN15" s="134">
        <v>53274948</v>
      </c>
      <c r="DO15" s="134">
        <v>63839968</v>
      </c>
      <c r="DP15" s="134">
        <v>63077511</v>
      </c>
      <c r="DQ15" s="134">
        <v>62473956</v>
      </c>
      <c r="DR15" s="134" t="s">
        <v>224</v>
      </c>
      <c r="DS15" s="134" t="s">
        <v>224</v>
      </c>
      <c r="DT15" s="134" t="s">
        <v>224</v>
      </c>
      <c r="DU15" s="134" t="s">
        <v>224</v>
      </c>
      <c r="DV15" s="134" t="s">
        <v>224</v>
      </c>
      <c r="DW15" s="134" t="s">
        <v>224</v>
      </c>
      <c r="DX15" s="134" t="s">
        <v>224</v>
      </c>
      <c r="DY15" s="134" t="s">
        <v>224</v>
      </c>
      <c r="DZ15" s="134" t="s">
        <v>224</v>
      </c>
      <c r="EA15" s="134" t="s">
        <v>224</v>
      </c>
      <c r="EB15" s="134" t="s">
        <v>224</v>
      </c>
      <c r="EC15" s="134" t="s">
        <v>224</v>
      </c>
      <c r="ED15" s="134" t="s">
        <v>224</v>
      </c>
      <c r="EE15" s="134" t="s">
        <v>224</v>
      </c>
      <c r="EF15" s="134" t="s">
        <v>224</v>
      </c>
      <c r="EG15" s="134" t="s">
        <v>224</v>
      </c>
      <c r="EH15" s="134" t="s">
        <v>224</v>
      </c>
      <c r="EI15" s="134" t="s">
        <v>224</v>
      </c>
      <c r="EJ15" s="134" t="s">
        <v>224</v>
      </c>
      <c r="EK15" s="134" t="s">
        <v>224</v>
      </c>
      <c r="EL15" s="134" t="s">
        <v>224</v>
      </c>
      <c r="EM15" s="134" t="s">
        <v>224</v>
      </c>
      <c r="EN15" s="134" t="s">
        <v>224</v>
      </c>
      <c r="EO15" s="134" t="s">
        <v>224</v>
      </c>
      <c r="EP15" s="134" t="s">
        <v>224</v>
      </c>
      <c r="EQ15" s="134" t="s">
        <v>224</v>
      </c>
      <c r="ER15" s="134" t="s">
        <v>224</v>
      </c>
      <c r="ES15" s="134" t="s">
        <v>224</v>
      </c>
      <c r="ET15" s="134" t="s">
        <v>224</v>
      </c>
      <c r="EU15" s="134" t="s">
        <v>224</v>
      </c>
      <c r="EV15" s="134" t="s">
        <v>224</v>
      </c>
      <c r="EW15" s="134" t="s">
        <v>224</v>
      </c>
      <c r="EX15" s="134" t="s">
        <v>224</v>
      </c>
      <c r="EY15" s="134" t="s">
        <v>224</v>
      </c>
      <c r="EZ15" s="134" t="s">
        <v>224</v>
      </c>
      <c r="FA15" s="134" t="s">
        <v>224</v>
      </c>
    </row>
    <row r="16" spans="1:157" ht="20.100000000000001" customHeight="1">
      <c r="A16" s="135" t="s">
        <v>223</v>
      </c>
      <c r="B16" s="133" t="s">
        <v>285</v>
      </c>
      <c r="C16" s="134">
        <v>129111889</v>
      </c>
      <c r="D16" s="134">
        <v>140947542</v>
      </c>
      <c r="E16" s="134">
        <v>147045854</v>
      </c>
      <c r="F16" s="134">
        <v>115178828</v>
      </c>
      <c r="G16" s="134">
        <v>123692958</v>
      </c>
      <c r="H16" s="134">
        <v>134467386</v>
      </c>
      <c r="I16" s="134">
        <v>140544327</v>
      </c>
      <c r="J16" s="134">
        <v>141705985</v>
      </c>
      <c r="K16" s="134">
        <v>145326809</v>
      </c>
      <c r="L16" s="134">
        <v>115635806</v>
      </c>
      <c r="M16" s="134">
        <v>119409878</v>
      </c>
      <c r="N16" s="134">
        <v>9738061</v>
      </c>
      <c r="O16" s="134">
        <v>8736249</v>
      </c>
      <c r="P16" s="134">
        <v>10159869</v>
      </c>
      <c r="Q16" s="134">
        <v>10318433</v>
      </c>
      <c r="R16" s="134">
        <v>10875542</v>
      </c>
      <c r="S16" s="134">
        <v>10176447</v>
      </c>
      <c r="T16" s="134">
        <v>8922508</v>
      </c>
      <c r="U16" s="134">
        <v>9508569</v>
      </c>
      <c r="V16" s="134">
        <v>9623495</v>
      </c>
      <c r="W16" s="134">
        <v>10080784</v>
      </c>
      <c r="X16" s="134">
        <v>9476104</v>
      </c>
      <c r="Y16" s="134">
        <v>10188715</v>
      </c>
      <c r="Z16" s="134">
        <v>9683037</v>
      </c>
      <c r="AA16" s="134">
        <v>8303819</v>
      </c>
      <c r="AB16" s="134">
        <v>10030594</v>
      </c>
      <c r="AC16" s="134">
        <v>9901094</v>
      </c>
      <c r="AD16" s="134">
        <v>10773610</v>
      </c>
      <c r="AE16" s="134">
        <v>10836921</v>
      </c>
      <c r="AF16" s="134">
        <v>10045722</v>
      </c>
      <c r="AG16" s="134">
        <v>9523785</v>
      </c>
      <c r="AH16" s="134">
        <v>9855583</v>
      </c>
      <c r="AI16" s="134">
        <v>10364414</v>
      </c>
      <c r="AJ16" s="134">
        <v>10264772</v>
      </c>
      <c r="AK16" s="134">
        <v>10495848</v>
      </c>
      <c r="AL16" s="134">
        <v>10688920</v>
      </c>
      <c r="AM16" s="134">
        <v>9393702</v>
      </c>
      <c r="AN16" s="134">
        <v>11280292</v>
      </c>
      <c r="AO16" s="134">
        <v>10617605</v>
      </c>
      <c r="AP16" s="134">
        <v>10986885</v>
      </c>
      <c r="AQ16" s="134">
        <v>10042801</v>
      </c>
      <c r="AR16" s="134">
        <v>10412026</v>
      </c>
      <c r="AS16" s="134">
        <v>10565833</v>
      </c>
      <c r="AT16" s="134">
        <v>10392834</v>
      </c>
      <c r="AU16" s="134">
        <v>11133933</v>
      </c>
      <c r="AV16" s="134">
        <v>10555440</v>
      </c>
      <c r="AW16" s="134">
        <v>10893983</v>
      </c>
      <c r="AX16" s="134">
        <v>8974859</v>
      </c>
      <c r="AY16" s="134">
        <v>8981640</v>
      </c>
      <c r="AZ16" s="134">
        <v>10011138</v>
      </c>
      <c r="BA16" s="134">
        <v>10778696</v>
      </c>
      <c r="BB16" s="134">
        <v>11010533</v>
      </c>
      <c r="BC16" s="134">
        <v>9320761</v>
      </c>
      <c r="BD16" s="134">
        <v>10229614</v>
      </c>
      <c r="BE16" s="134">
        <v>9832618</v>
      </c>
      <c r="BF16" s="134">
        <v>10702641</v>
      </c>
      <c r="BG16" s="134">
        <v>10051092</v>
      </c>
      <c r="BH16" s="134">
        <v>10313579</v>
      </c>
      <c r="BI16" s="134">
        <v>9824739</v>
      </c>
      <c r="BJ16" s="134">
        <v>9430070</v>
      </c>
      <c r="BK16" s="134">
        <v>8320019</v>
      </c>
      <c r="BL16" s="134">
        <v>10121805</v>
      </c>
      <c r="BM16" s="134">
        <v>10549394</v>
      </c>
      <c r="BN16" s="134">
        <v>11332909</v>
      </c>
      <c r="BO16" s="134">
        <v>10265194</v>
      </c>
      <c r="BP16" s="134">
        <v>9454720</v>
      </c>
      <c r="BQ16" s="134">
        <v>9179380</v>
      </c>
      <c r="BR16" s="134">
        <v>8666415</v>
      </c>
      <c r="BS16" s="134">
        <v>10431587</v>
      </c>
      <c r="BT16" s="134">
        <v>11017860</v>
      </c>
      <c r="BU16" s="134">
        <v>10252227</v>
      </c>
      <c r="BV16" s="134">
        <v>8476082</v>
      </c>
      <c r="BW16" s="134">
        <v>7694920</v>
      </c>
      <c r="BX16" s="134">
        <v>9977314</v>
      </c>
      <c r="BY16" s="134">
        <v>9924708</v>
      </c>
      <c r="BZ16" s="134">
        <v>11332909</v>
      </c>
      <c r="CA16" s="134">
        <v>9518360</v>
      </c>
      <c r="CB16" s="134">
        <v>9454720</v>
      </c>
      <c r="CC16" s="134">
        <v>8930073</v>
      </c>
      <c r="CD16" s="134">
        <v>8250502</v>
      </c>
      <c r="CE16" s="134">
        <v>9168212</v>
      </c>
      <c r="CF16" s="134">
        <v>11017860</v>
      </c>
      <c r="CG16" s="134">
        <v>9282482</v>
      </c>
      <c r="CH16" s="134">
        <v>10071298</v>
      </c>
      <c r="CI16" s="134">
        <v>9136628</v>
      </c>
      <c r="CJ16" s="134">
        <v>10105857</v>
      </c>
      <c r="CK16" s="134">
        <v>10466553</v>
      </c>
      <c r="CL16" s="134">
        <v>10826504</v>
      </c>
      <c r="CM16" s="134">
        <v>10615448</v>
      </c>
      <c r="CN16" s="134">
        <v>10522564</v>
      </c>
      <c r="CO16" s="134">
        <v>8789748</v>
      </c>
      <c r="CP16" s="134">
        <v>9307097</v>
      </c>
      <c r="CQ16" s="134">
        <v>10075289</v>
      </c>
      <c r="CR16" s="134">
        <v>10030050</v>
      </c>
      <c r="CS16" s="134">
        <v>9110271</v>
      </c>
      <c r="CT16" s="134">
        <v>8952710</v>
      </c>
      <c r="CU16" s="134">
        <v>8020408</v>
      </c>
      <c r="CV16" s="134">
        <v>10328866</v>
      </c>
      <c r="CW16" s="134">
        <v>10099682</v>
      </c>
      <c r="CX16" s="134">
        <v>10338088</v>
      </c>
      <c r="CY16" s="134">
        <v>10554611</v>
      </c>
      <c r="CZ16" s="134">
        <v>9712420</v>
      </c>
      <c r="DA16" s="134">
        <v>9989191</v>
      </c>
      <c r="DB16" s="134">
        <v>9293279</v>
      </c>
      <c r="DC16" s="134">
        <v>9933424</v>
      </c>
      <c r="DD16" s="134">
        <v>10441517</v>
      </c>
      <c r="DE16" s="134">
        <v>10195914</v>
      </c>
      <c r="DF16" s="134">
        <v>10082417</v>
      </c>
      <c r="DG16" s="134">
        <v>8498818</v>
      </c>
      <c r="DH16" s="134">
        <v>10511377</v>
      </c>
      <c r="DI16" s="134">
        <v>10266192</v>
      </c>
      <c r="DJ16" s="134">
        <v>10102259</v>
      </c>
      <c r="DK16" s="134">
        <v>10311627</v>
      </c>
      <c r="DL16" s="134">
        <v>9776873</v>
      </c>
      <c r="DM16" s="134">
        <v>9307408</v>
      </c>
      <c r="DN16" s="134">
        <v>8666943</v>
      </c>
      <c r="DO16" s="134">
        <v>10430332</v>
      </c>
      <c r="DP16" s="134">
        <v>10564679</v>
      </c>
      <c r="DQ16" s="134">
        <v>9401163</v>
      </c>
      <c r="DR16" s="134">
        <v>9634525</v>
      </c>
      <c r="DS16" s="134">
        <v>8554106</v>
      </c>
      <c r="DT16" s="134">
        <v>10026694</v>
      </c>
      <c r="DU16" s="134">
        <v>10476782</v>
      </c>
      <c r="DV16" s="134">
        <v>10655900</v>
      </c>
      <c r="DW16" s="134">
        <v>10763392</v>
      </c>
      <c r="DX16" s="134">
        <v>10480933</v>
      </c>
      <c r="DY16" s="134">
        <v>10933588</v>
      </c>
      <c r="DZ16" s="134">
        <v>10979171</v>
      </c>
      <c r="EA16" s="134">
        <v>12016779</v>
      </c>
      <c r="EB16" s="134">
        <v>11687739</v>
      </c>
      <c r="EC16" s="134">
        <v>12401621</v>
      </c>
      <c r="ED16" s="134">
        <v>12107753</v>
      </c>
      <c r="EE16" s="134">
        <v>10375643</v>
      </c>
      <c r="EF16" s="134">
        <v>12883162</v>
      </c>
      <c r="EG16" s="134">
        <v>12080222</v>
      </c>
      <c r="EH16" s="134">
        <v>12258058</v>
      </c>
      <c r="EI16" s="134">
        <v>12188677</v>
      </c>
      <c r="EJ16" s="134">
        <v>11901355</v>
      </c>
      <c r="EK16" s="134">
        <v>11685562</v>
      </c>
      <c r="EL16" s="134">
        <v>10862620</v>
      </c>
      <c r="EM16" s="134">
        <v>12544187</v>
      </c>
      <c r="EN16" s="134">
        <v>12229103</v>
      </c>
      <c r="EO16" s="134">
        <v>12111006</v>
      </c>
      <c r="EP16" s="134">
        <v>15872211</v>
      </c>
      <c r="EQ16" s="134">
        <v>13216846</v>
      </c>
      <c r="ER16" s="134">
        <v>12398437</v>
      </c>
      <c r="ES16" s="134">
        <v>12014717</v>
      </c>
      <c r="ET16" s="134">
        <v>12453431</v>
      </c>
      <c r="EU16" s="134">
        <v>11960941</v>
      </c>
      <c r="EV16" s="134">
        <v>10973679</v>
      </c>
      <c r="EW16" s="134">
        <v>11180290</v>
      </c>
      <c r="EX16" s="134">
        <v>10516491</v>
      </c>
      <c r="EY16" s="134">
        <v>9820041</v>
      </c>
      <c r="EZ16" s="134">
        <v>11024011</v>
      </c>
      <c r="FA16" s="134">
        <v>11156212</v>
      </c>
    </row>
    <row r="17" spans="1:157" ht="20.100000000000001" customHeight="1">
      <c r="A17" s="135" t="s">
        <v>223</v>
      </c>
      <c r="B17" s="133" t="s">
        <v>283</v>
      </c>
      <c r="C17" s="134">
        <v>322720</v>
      </c>
      <c r="D17" s="134">
        <v>351363</v>
      </c>
      <c r="E17" s="134">
        <v>387319</v>
      </c>
      <c r="F17" s="134">
        <v>363547</v>
      </c>
      <c r="G17" s="134">
        <v>393275</v>
      </c>
      <c r="H17" s="134">
        <v>434228</v>
      </c>
      <c r="I17" s="134">
        <v>431032</v>
      </c>
      <c r="J17" s="134">
        <v>432702</v>
      </c>
      <c r="K17" s="134">
        <v>422565</v>
      </c>
      <c r="L17" s="134">
        <v>408984</v>
      </c>
      <c r="M17" s="134">
        <v>372385</v>
      </c>
      <c r="N17" s="134">
        <v>32505</v>
      </c>
      <c r="O17" s="134">
        <v>31261</v>
      </c>
      <c r="P17" s="134">
        <v>38158</v>
      </c>
      <c r="Q17" s="134">
        <v>32085</v>
      </c>
      <c r="R17" s="134">
        <v>26397</v>
      </c>
      <c r="S17" s="134">
        <v>24142</v>
      </c>
      <c r="T17" s="134">
        <v>24787</v>
      </c>
      <c r="U17" s="134">
        <v>27707</v>
      </c>
      <c r="V17" s="134">
        <v>28696</v>
      </c>
      <c r="W17" s="134">
        <v>27726</v>
      </c>
      <c r="X17" s="134">
        <v>30070</v>
      </c>
      <c r="Y17" s="134">
        <v>31715</v>
      </c>
      <c r="Z17" s="134">
        <v>30964</v>
      </c>
      <c r="AA17" s="134">
        <v>28714</v>
      </c>
      <c r="AB17" s="134">
        <v>30374</v>
      </c>
      <c r="AC17" s="134">
        <v>27123</v>
      </c>
      <c r="AD17" s="134">
        <v>23726</v>
      </c>
      <c r="AE17" s="134">
        <v>21987</v>
      </c>
      <c r="AF17" s="134">
        <v>23274</v>
      </c>
      <c r="AG17" s="134">
        <v>25164</v>
      </c>
      <c r="AH17" s="134">
        <v>24758</v>
      </c>
      <c r="AI17" s="134">
        <v>28651</v>
      </c>
      <c r="AJ17" s="134">
        <v>26628</v>
      </c>
      <c r="AK17" s="134">
        <v>25035</v>
      </c>
      <c r="AL17" s="134">
        <v>23441</v>
      </c>
      <c r="AM17" s="134">
        <v>24225</v>
      </c>
      <c r="AN17" s="134">
        <v>21879</v>
      </c>
      <c r="AO17" s="134">
        <v>20125</v>
      </c>
      <c r="AP17" s="134">
        <v>18797</v>
      </c>
      <c r="AQ17" s="134">
        <v>16205</v>
      </c>
      <c r="AR17" s="134">
        <v>15902</v>
      </c>
      <c r="AS17" s="134">
        <v>21412</v>
      </c>
      <c r="AT17" s="134">
        <v>20952</v>
      </c>
      <c r="AU17" s="134">
        <v>24955</v>
      </c>
      <c r="AV17" s="134">
        <v>23366</v>
      </c>
      <c r="AW17" s="134">
        <v>22980</v>
      </c>
      <c r="AX17" s="134">
        <v>23206</v>
      </c>
      <c r="AY17" s="134">
        <v>21910</v>
      </c>
      <c r="AZ17" s="134">
        <v>24461</v>
      </c>
      <c r="BA17" s="134">
        <v>21504</v>
      </c>
      <c r="BB17" s="134">
        <v>19082</v>
      </c>
      <c r="BC17" s="134">
        <v>19158</v>
      </c>
      <c r="BD17" s="134">
        <v>19697</v>
      </c>
      <c r="BE17" s="134">
        <v>23249</v>
      </c>
      <c r="BF17" s="134">
        <v>23409</v>
      </c>
      <c r="BG17" s="134">
        <v>23703</v>
      </c>
      <c r="BH17" s="134">
        <v>24262</v>
      </c>
      <c r="BI17" s="134">
        <v>25036</v>
      </c>
      <c r="BJ17" s="134">
        <v>22635</v>
      </c>
      <c r="BK17" s="134">
        <v>23367</v>
      </c>
      <c r="BL17" s="134">
        <v>24760</v>
      </c>
      <c r="BM17" s="134">
        <v>23605</v>
      </c>
      <c r="BN17" s="134">
        <v>20720</v>
      </c>
      <c r="BO17" s="134">
        <v>18530</v>
      </c>
      <c r="BP17" s="134">
        <v>19478</v>
      </c>
      <c r="BQ17" s="134">
        <v>22318</v>
      </c>
      <c r="BR17" s="134">
        <v>22096</v>
      </c>
      <c r="BS17" s="134">
        <v>23326</v>
      </c>
      <c r="BT17" s="134">
        <v>20672</v>
      </c>
      <c r="BU17" s="134">
        <v>20352</v>
      </c>
      <c r="BV17" s="134">
        <v>19756</v>
      </c>
      <c r="BW17" s="134">
        <v>20809</v>
      </c>
      <c r="BX17" s="134">
        <v>27279</v>
      </c>
      <c r="BY17" s="134">
        <v>24346</v>
      </c>
      <c r="BZ17" s="134">
        <v>20720</v>
      </c>
      <c r="CA17" s="134">
        <v>20145</v>
      </c>
      <c r="CB17" s="134">
        <v>19478</v>
      </c>
      <c r="CC17" s="134">
        <v>24309</v>
      </c>
      <c r="CD17" s="134">
        <v>23908</v>
      </c>
      <c r="CE17" s="134">
        <v>26358</v>
      </c>
      <c r="CF17" s="134">
        <v>20672</v>
      </c>
      <c r="CG17" s="134">
        <v>25938</v>
      </c>
      <c r="CH17" s="134">
        <v>25639</v>
      </c>
      <c r="CI17" s="134">
        <v>23211</v>
      </c>
      <c r="CJ17" s="134">
        <v>25526</v>
      </c>
      <c r="CK17" s="134">
        <v>24563</v>
      </c>
      <c r="CL17" s="134">
        <v>22850</v>
      </c>
      <c r="CM17" s="134">
        <v>21029</v>
      </c>
      <c r="CN17" s="134">
        <v>20995</v>
      </c>
      <c r="CO17" s="134">
        <v>21693</v>
      </c>
      <c r="CP17" s="134">
        <v>19925</v>
      </c>
      <c r="CQ17" s="134">
        <v>21971</v>
      </c>
      <c r="CR17" s="134">
        <v>19672</v>
      </c>
      <c r="CS17" s="134">
        <v>18203</v>
      </c>
      <c r="CT17" s="134">
        <v>20040</v>
      </c>
      <c r="CU17" s="134">
        <v>19878</v>
      </c>
      <c r="CV17" s="134">
        <v>22687</v>
      </c>
      <c r="CW17" s="134">
        <v>22550</v>
      </c>
      <c r="CX17" s="134">
        <v>19777</v>
      </c>
      <c r="CY17" s="134">
        <v>18450</v>
      </c>
      <c r="CZ17" s="134">
        <v>19846</v>
      </c>
      <c r="DA17" s="134">
        <v>21825</v>
      </c>
      <c r="DB17" s="134">
        <v>21542</v>
      </c>
      <c r="DC17" s="134">
        <v>22642</v>
      </c>
      <c r="DD17" s="134">
        <v>22167</v>
      </c>
      <c r="DE17" s="134">
        <v>21283</v>
      </c>
      <c r="DF17" s="134">
        <v>22733</v>
      </c>
      <c r="DG17" s="134">
        <v>21293</v>
      </c>
      <c r="DH17" s="134">
        <v>22697</v>
      </c>
      <c r="DI17" s="134">
        <v>23180</v>
      </c>
      <c r="DJ17" s="134">
        <v>20866</v>
      </c>
      <c r="DK17" s="134">
        <v>20881</v>
      </c>
      <c r="DL17" s="134">
        <v>23953</v>
      </c>
      <c r="DM17" s="134">
        <v>26454</v>
      </c>
      <c r="DN17" s="134">
        <v>25746</v>
      </c>
      <c r="DO17" s="134">
        <v>26163</v>
      </c>
      <c r="DP17" s="134">
        <v>23836</v>
      </c>
      <c r="DQ17" s="134">
        <v>25317</v>
      </c>
      <c r="DR17" s="134">
        <v>24502</v>
      </c>
      <c r="DS17" s="134">
        <v>25316</v>
      </c>
      <c r="DT17" s="134">
        <v>25026</v>
      </c>
      <c r="DU17" s="134">
        <v>24622</v>
      </c>
      <c r="DV17" s="134">
        <v>23458</v>
      </c>
      <c r="DW17" s="134">
        <v>18814</v>
      </c>
      <c r="DX17" s="134">
        <v>21312</v>
      </c>
      <c r="DY17" s="134">
        <v>25130</v>
      </c>
      <c r="DZ17" s="134">
        <v>24803</v>
      </c>
      <c r="EA17" s="134">
        <v>25921</v>
      </c>
      <c r="EB17" s="134">
        <v>23847</v>
      </c>
      <c r="EC17" s="134">
        <v>25031</v>
      </c>
      <c r="ED17" s="134">
        <v>24933</v>
      </c>
      <c r="EE17" s="134">
        <v>24549</v>
      </c>
      <c r="EF17" s="134">
        <v>24435</v>
      </c>
      <c r="EG17" s="134">
        <v>23540</v>
      </c>
      <c r="EH17" s="134">
        <v>22778</v>
      </c>
      <c r="EI17" s="134">
        <v>22597</v>
      </c>
      <c r="EJ17" s="134">
        <v>25134</v>
      </c>
      <c r="EK17" s="134">
        <v>25654</v>
      </c>
      <c r="EL17" s="134">
        <v>25674</v>
      </c>
      <c r="EM17" s="134">
        <v>26830</v>
      </c>
      <c r="EN17" s="134">
        <v>23002</v>
      </c>
      <c r="EO17" s="134">
        <v>23758</v>
      </c>
      <c r="EP17" s="134">
        <v>26368</v>
      </c>
      <c r="EQ17" s="134">
        <v>23154</v>
      </c>
      <c r="ER17" s="134">
        <v>24160</v>
      </c>
      <c r="ES17" s="134">
        <v>23379</v>
      </c>
      <c r="ET17" s="134">
        <v>23574</v>
      </c>
      <c r="EU17" s="134">
        <v>22570</v>
      </c>
      <c r="EV17" s="134">
        <v>24120</v>
      </c>
      <c r="EW17" s="134">
        <v>26200</v>
      </c>
      <c r="EX17" s="134">
        <v>26053</v>
      </c>
      <c r="EY17" s="134">
        <v>25548</v>
      </c>
      <c r="EZ17" s="134">
        <v>22547</v>
      </c>
      <c r="FA17" s="134">
        <v>22454</v>
      </c>
    </row>
    <row r="18" spans="1:157" ht="20.100000000000001" customHeight="1">
      <c r="A18" s="133" t="s">
        <v>289</v>
      </c>
      <c r="B18" s="133" t="s">
        <v>10</v>
      </c>
      <c r="C18" s="134">
        <v>405714274</v>
      </c>
      <c r="D18" s="134">
        <v>442551230</v>
      </c>
      <c r="E18" s="134">
        <v>486661311</v>
      </c>
      <c r="F18" s="134">
        <v>476222728</v>
      </c>
      <c r="G18" s="134">
        <v>533902560</v>
      </c>
      <c r="H18" s="134">
        <v>571548755</v>
      </c>
      <c r="I18" s="134">
        <v>612773903</v>
      </c>
      <c r="J18" s="134">
        <v>637622077</v>
      </c>
      <c r="K18" s="134">
        <v>669816827</v>
      </c>
      <c r="L18" s="134">
        <v>735946247</v>
      </c>
      <c r="M18" s="134">
        <v>757553023</v>
      </c>
      <c r="N18" s="134">
        <v>71712480</v>
      </c>
      <c r="O18" s="134">
        <v>60371386</v>
      </c>
      <c r="P18" s="134">
        <v>69621029</v>
      </c>
      <c r="Q18" s="134">
        <v>66572995</v>
      </c>
      <c r="R18" s="134">
        <v>69341698</v>
      </c>
      <c r="S18" s="134">
        <v>65346873</v>
      </c>
      <c r="T18" s="134">
        <v>67351512</v>
      </c>
      <c r="U18" s="134">
        <v>66247601</v>
      </c>
      <c r="V18" s="134">
        <v>68907654</v>
      </c>
      <c r="W18" s="134">
        <v>66330190</v>
      </c>
      <c r="X18" s="134">
        <v>67877209</v>
      </c>
      <c r="Y18" s="134">
        <v>73002511</v>
      </c>
      <c r="Z18" s="134">
        <v>69823227</v>
      </c>
      <c r="AA18" s="134">
        <v>64765263</v>
      </c>
      <c r="AB18" s="134">
        <v>72893625</v>
      </c>
      <c r="AC18" s="134">
        <v>73768125</v>
      </c>
      <c r="AD18" s="134">
        <v>76886281</v>
      </c>
      <c r="AE18" s="134">
        <v>71823800</v>
      </c>
      <c r="AF18" s="134">
        <v>74787624</v>
      </c>
      <c r="AG18" s="134">
        <v>70166140</v>
      </c>
      <c r="AH18" s="134">
        <v>69525067</v>
      </c>
      <c r="AI18" s="134">
        <v>73019869</v>
      </c>
      <c r="AJ18" s="134">
        <v>69080081</v>
      </c>
      <c r="AK18" s="134">
        <v>79122341</v>
      </c>
      <c r="AL18" s="134">
        <v>76217972</v>
      </c>
      <c r="AM18" s="134">
        <v>68383491</v>
      </c>
      <c r="AN18" s="134">
        <v>80098146</v>
      </c>
      <c r="AO18" s="134">
        <v>75323826</v>
      </c>
      <c r="AP18" s="134">
        <v>78086486</v>
      </c>
      <c r="AQ18" s="134">
        <v>71914259</v>
      </c>
      <c r="AR18" s="134">
        <v>81232962</v>
      </c>
      <c r="AS18" s="134">
        <v>75588855</v>
      </c>
      <c r="AT18" s="134">
        <v>74979218</v>
      </c>
      <c r="AU18" s="134">
        <v>75772750</v>
      </c>
      <c r="AV18" s="134">
        <v>71295784</v>
      </c>
      <c r="AW18" s="134">
        <v>67040000</v>
      </c>
      <c r="AX18" s="134">
        <v>65569343</v>
      </c>
      <c r="AY18" s="134">
        <v>61834770</v>
      </c>
      <c r="AZ18" s="134">
        <v>70424452</v>
      </c>
      <c r="BA18" s="134">
        <v>65689263</v>
      </c>
      <c r="BB18" s="134">
        <v>70037813</v>
      </c>
      <c r="BC18" s="134">
        <v>67870082</v>
      </c>
      <c r="BD18" s="134">
        <v>72048511</v>
      </c>
      <c r="BE18" s="134">
        <v>71855645</v>
      </c>
      <c r="BF18" s="134">
        <v>73407082</v>
      </c>
      <c r="BG18" s="134">
        <v>80797905</v>
      </c>
      <c r="BH18" s="134">
        <v>74599247</v>
      </c>
      <c r="BI18" s="134">
        <v>77037000</v>
      </c>
      <c r="BJ18" s="134">
        <v>79753982</v>
      </c>
      <c r="BK18" s="134">
        <v>70655920</v>
      </c>
      <c r="BL18" s="134">
        <v>83172463</v>
      </c>
      <c r="BM18" s="134">
        <v>79083912</v>
      </c>
      <c r="BN18" s="134">
        <v>84226201</v>
      </c>
      <c r="BO18" s="134">
        <v>80146202</v>
      </c>
      <c r="BP18" s="134">
        <v>82414666</v>
      </c>
      <c r="BQ18" s="134">
        <v>79967287</v>
      </c>
      <c r="BR18" s="134">
        <v>78656024</v>
      </c>
      <c r="BS18" s="134">
        <v>82449817</v>
      </c>
      <c r="BT18" s="134">
        <v>86266955</v>
      </c>
      <c r="BU18" s="134">
        <v>82726797</v>
      </c>
      <c r="BV18" s="134">
        <v>89570617</v>
      </c>
      <c r="BW18" s="134">
        <v>78587466</v>
      </c>
      <c r="BX18" s="134">
        <v>92243362</v>
      </c>
      <c r="BY18" s="134">
        <v>89599038</v>
      </c>
      <c r="BZ18" s="134">
        <v>84226201</v>
      </c>
      <c r="CA18" s="134">
        <v>85373450</v>
      </c>
      <c r="CB18" s="134">
        <v>82414666</v>
      </c>
      <c r="CC18" s="134">
        <v>88260910</v>
      </c>
      <c r="CD18" s="134">
        <v>85833636</v>
      </c>
      <c r="CE18" s="134">
        <v>92305861</v>
      </c>
      <c r="CF18" s="134">
        <v>86266955</v>
      </c>
      <c r="CG18" s="134">
        <v>96588328</v>
      </c>
      <c r="CH18" s="134">
        <v>95141585</v>
      </c>
      <c r="CI18" s="134">
        <v>86679451</v>
      </c>
      <c r="CJ18" s="134">
        <v>95604137</v>
      </c>
      <c r="CK18" s="134">
        <v>92108043</v>
      </c>
      <c r="CL18" s="134">
        <v>95001421</v>
      </c>
      <c r="CM18" s="134">
        <v>90663146</v>
      </c>
      <c r="CN18" s="134">
        <v>94259481</v>
      </c>
      <c r="CO18" s="134">
        <v>84101404</v>
      </c>
      <c r="CP18" s="134">
        <v>96606494</v>
      </c>
      <c r="CQ18" s="134">
        <v>94290831</v>
      </c>
      <c r="CR18" s="134">
        <v>93160394</v>
      </c>
      <c r="CS18" s="134">
        <v>94130663</v>
      </c>
      <c r="CT18" s="134">
        <v>98476563</v>
      </c>
      <c r="CU18" s="134">
        <v>84993652</v>
      </c>
      <c r="CV18" s="134">
        <v>99928409</v>
      </c>
      <c r="CW18" s="134">
        <v>92464787</v>
      </c>
      <c r="CX18" s="134">
        <v>91080175</v>
      </c>
      <c r="CY18" s="134">
        <v>93047685</v>
      </c>
      <c r="CZ18" s="134">
        <v>94901896</v>
      </c>
      <c r="DA18" s="134">
        <v>91665688</v>
      </c>
      <c r="DB18" s="134">
        <v>90190630</v>
      </c>
      <c r="DC18" s="134">
        <v>93990009</v>
      </c>
      <c r="DD18" s="134">
        <v>94976891</v>
      </c>
      <c r="DE18" s="134">
        <v>100734923</v>
      </c>
      <c r="DF18" s="134">
        <v>104668191</v>
      </c>
      <c r="DG18" s="134">
        <v>88531214</v>
      </c>
      <c r="DH18" s="134">
        <v>105712440</v>
      </c>
      <c r="DI18" s="134">
        <v>98444070</v>
      </c>
      <c r="DJ18" s="134">
        <v>97944495</v>
      </c>
      <c r="DK18" s="134">
        <v>96424428</v>
      </c>
      <c r="DL18" s="134">
        <v>99657093</v>
      </c>
      <c r="DM18" s="134">
        <v>97870590</v>
      </c>
      <c r="DN18" s="134">
        <v>95267783</v>
      </c>
      <c r="DO18" s="134">
        <v>101918922</v>
      </c>
      <c r="DP18" s="134">
        <v>99645838</v>
      </c>
      <c r="DQ18" s="134">
        <v>101966872</v>
      </c>
      <c r="DR18" s="134">
        <v>106393448</v>
      </c>
      <c r="DS18" s="134">
        <v>95823656</v>
      </c>
      <c r="DT18" s="134">
        <v>104300962</v>
      </c>
      <c r="DU18" s="134">
        <v>100643276</v>
      </c>
      <c r="DV18" s="134">
        <v>102262911</v>
      </c>
      <c r="DW18" s="134">
        <v>100526977</v>
      </c>
      <c r="DX18" s="134">
        <v>101861350</v>
      </c>
      <c r="DY18" s="134">
        <v>101383136</v>
      </c>
      <c r="DZ18" s="134">
        <v>99204577</v>
      </c>
      <c r="EA18" s="134">
        <v>102969388</v>
      </c>
      <c r="EB18" s="134">
        <v>98207343</v>
      </c>
      <c r="EC18" s="134">
        <v>106723474</v>
      </c>
      <c r="ED18" s="134">
        <v>105610122</v>
      </c>
      <c r="EE18" s="134">
        <v>96221146</v>
      </c>
      <c r="EF18" s="134">
        <v>108494284</v>
      </c>
      <c r="EG18" s="134">
        <v>99251751</v>
      </c>
      <c r="EH18" s="134">
        <v>106800199</v>
      </c>
      <c r="EI18" s="134">
        <v>100979850</v>
      </c>
      <c r="EJ18" s="134">
        <v>105802676</v>
      </c>
      <c r="EK18" s="134">
        <v>98031206</v>
      </c>
      <c r="EL18" s="134">
        <v>102167608</v>
      </c>
      <c r="EM18" s="134">
        <v>108983802</v>
      </c>
      <c r="EN18" s="134">
        <v>103444358</v>
      </c>
      <c r="EO18" s="134">
        <v>110590967</v>
      </c>
      <c r="EP18" s="134">
        <v>109874598</v>
      </c>
      <c r="EQ18" s="134">
        <v>95966406</v>
      </c>
      <c r="ER18" s="134">
        <v>115933464</v>
      </c>
      <c r="ES18" s="134">
        <v>109383174</v>
      </c>
      <c r="ET18" s="134">
        <v>108440461</v>
      </c>
      <c r="EU18" s="134">
        <v>114766282</v>
      </c>
      <c r="EV18" s="134">
        <v>114130689</v>
      </c>
      <c r="EW18" s="134">
        <v>108142899</v>
      </c>
      <c r="EX18" s="134">
        <v>106043438</v>
      </c>
      <c r="EY18" s="134">
        <v>107899248</v>
      </c>
      <c r="EZ18" s="134">
        <v>110895591</v>
      </c>
      <c r="FA18" s="134">
        <v>115044738</v>
      </c>
    </row>
    <row r="19" spans="1:157" ht="20.100000000000001" customHeight="1">
      <c r="A19" s="135" t="s">
        <v>223</v>
      </c>
      <c r="B19" s="133" t="s">
        <v>285</v>
      </c>
      <c r="C19" s="134">
        <v>404423525</v>
      </c>
      <c r="D19" s="134">
        <v>441120256</v>
      </c>
      <c r="E19" s="134">
        <v>485030237</v>
      </c>
      <c r="F19" s="134">
        <v>474751966</v>
      </c>
      <c r="G19" s="134">
        <v>532183132</v>
      </c>
      <c r="H19" s="134">
        <v>569599403</v>
      </c>
      <c r="I19" s="134">
        <v>610910071</v>
      </c>
      <c r="J19" s="134">
        <v>635545272</v>
      </c>
      <c r="K19" s="134">
        <v>667608033</v>
      </c>
      <c r="L19" s="134">
        <v>733377114</v>
      </c>
      <c r="M19" s="134">
        <v>754936409</v>
      </c>
      <c r="N19" s="134">
        <v>71498130</v>
      </c>
      <c r="O19" s="134">
        <v>60166069</v>
      </c>
      <c r="P19" s="134">
        <v>69374069</v>
      </c>
      <c r="Q19" s="134">
        <v>66339706</v>
      </c>
      <c r="R19" s="134">
        <v>69117840</v>
      </c>
      <c r="S19" s="134">
        <v>65117487</v>
      </c>
      <c r="T19" s="134">
        <v>67115143</v>
      </c>
      <c r="U19" s="134">
        <v>66003023</v>
      </c>
      <c r="V19" s="134">
        <v>68654939</v>
      </c>
      <c r="W19" s="134">
        <v>66074528</v>
      </c>
      <c r="X19" s="134">
        <v>67618421</v>
      </c>
      <c r="Y19" s="134">
        <v>72750249</v>
      </c>
      <c r="Z19" s="134">
        <v>69590357</v>
      </c>
      <c r="AA19" s="134">
        <v>64537815</v>
      </c>
      <c r="AB19" s="134">
        <v>72622148</v>
      </c>
      <c r="AC19" s="134">
        <v>73509257</v>
      </c>
      <c r="AD19" s="134">
        <v>76631162</v>
      </c>
      <c r="AE19" s="134">
        <v>71565233</v>
      </c>
      <c r="AF19" s="134">
        <v>74523211</v>
      </c>
      <c r="AG19" s="134">
        <v>69898301</v>
      </c>
      <c r="AH19" s="134">
        <v>69256753</v>
      </c>
      <c r="AI19" s="134">
        <v>72739050</v>
      </c>
      <c r="AJ19" s="134">
        <v>68798775</v>
      </c>
      <c r="AK19" s="134">
        <v>78851416</v>
      </c>
      <c r="AL19" s="134">
        <v>75959392</v>
      </c>
      <c r="AM19" s="134">
        <v>68140334</v>
      </c>
      <c r="AN19" s="134">
        <v>79822102</v>
      </c>
      <c r="AO19" s="134">
        <v>75061658</v>
      </c>
      <c r="AP19" s="134">
        <v>77827643</v>
      </c>
      <c r="AQ19" s="134">
        <v>71656309</v>
      </c>
      <c r="AR19" s="134">
        <v>80974587</v>
      </c>
      <c r="AS19" s="134">
        <v>75332082</v>
      </c>
      <c r="AT19" s="134">
        <v>74737590</v>
      </c>
      <c r="AU19" s="134">
        <v>75520078</v>
      </c>
      <c r="AV19" s="134">
        <v>71068306</v>
      </c>
      <c r="AW19" s="134">
        <v>66836301</v>
      </c>
      <c r="AX19" s="134">
        <v>65372953</v>
      </c>
      <c r="AY19" s="134">
        <v>61631352</v>
      </c>
      <c r="AZ19" s="134">
        <v>70188547</v>
      </c>
      <c r="BA19" s="134">
        <v>65463381</v>
      </c>
      <c r="BB19" s="134">
        <v>69809347</v>
      </c>
      <c r="BC19" s="134">
        <v>67640916</v>
      </c>
      <c r="BD19" s="134">
        <v>71802669</v>
      </c>
      <c r="BE19" s="134">
        <v>71606954</v>
      </c>
      <c r="BF19" s="134">
        <v>73154152</v>
      </c>
      <c r="BG19" s="134">
        <v>80532236</v>
      </c>
      <c r="BH19" s="134">
        <v>74325677</v>
      </c>
      <c r="BI19" s="134">
        <v>76770460</v>
      </c>
      <c r="BJ19" s="134">
        <v>79496585</v>
      </c>
      <c r="BK19" s="134">
        <v>70408567</v>
      </c>
      <c r="BL19" s="134">
        <v>82877407</v>
      </c>
      <c r="BM19" s="134">
        <v>78804243</v>
      </c>
      <c r="BN19" s="134">
        <v>83933977</v>
      </c>
      <c r="BO19" s="134">
        <v>79870634</v>
      </c>
      <c r="BP19" s="134">
        <v>82128859</v>
      </c>
      <c r="BQ19" s="134">
        <v>79693904</v>
      </c>
      <c r="BR19" s="134">
        <v>78388759</v>
      </c>
      <c r="BS19" s="134">
        <v>82156187</v>
      </c>
      <c r="BT19" s="134">
        <v>85987952</v>
      </c>
      <c r="BU19" s="134">
        <v>82446268</v>
      </c>
      <c r="BV19" s="134">
        <v>89299706</v>
      </c>
      <c r="BW19" s="134">
        <v>78345814</v>
      </c>
      <c r="BX19" s="134">
        <v>91950050</v>
      </c>
      <c r="BY19" s="134">
        <v>89330061</v>
      </c>
      <c r="BZ19" s="134">
        <v>83933977</v>
      </c>
      <c r="CA19" s="134">
        <v>85107490</v>
      </c>
      <c r="CB19" s="134">
        <v>82128859</v>
      </c>
      <c r="CC19" s="134">
        <v>87989584</v>
      </c>
      <c r="CD19" s="134">
        <v>85571617</v>
      </c>
      <c r="CE19" s="134">
        <v>92026295</v>
      </c>
      <c r="CF19" s="134">
        <v>85987952</v>
      </c>
      <c r="CG19" s="134">
        <v>96314793</v>
      </c>
      <c r="CH19" s="134">
        <v>94896714</v>
      </c>
      <c r="CI19" s="134">
        <v>86421173</v>
      </c>
      <c r="CJ19" s="134">
        <v>95324695</v>
      </c>
      <c r="CK19" s="134">
        <v>91848315</v>
      </c>
      <c r="CL19" s="134">
        <v>94739877</v>
      </c>
      <c r="CM19" s="134">
        <v>90395008</v>
      </c>
      <c r="CN19" s="134">
        <v>93986459</v>
      </c>
      <c r="CO19" s="134">
        <v>83830349</v>
      </c>
      <c r="CP19" s="134">
        <v>96334454</v>
      </c>
      <c r="CQ19" s="134">
        <v>94013869</v>
      </c>
      <c r="CR19" s="134">
        <v>92884917</v>
      </c>
      <c r="CS19" s="134">
        <v>93862440</v>
      </c>
      <c r="CT19" s="134">
        <v>98223778</v>
      </c>
      <c r="CU19" s="134">
        <v>84760248</v>
      </c>
      <c r="CV19" s="134">
        <v>99639144</v>
      </c>
      <c r="CW19" s="134">
        <v>92195514</v>
      </c>
      <c r="CX19" s="134">
        <v>90811456</v>
      </c>
      <c r="CY19" s="134">
        <v>92780740</v>
      </c>
      <c r="CZ19" s="134">
        <v>94631597</v>
      </c>
      <c r="DA19" s="134">
        <v>91391060</v>
      </c>
      <c r="DB19" s="134">
        <v>89923450</v>
      </c>
      <c r="DC19" s="134">
        <v>93702614</v>
      </c>
      <c r="DD19" s="134">
        <v>94690782</v>
      </c>
      <c r="DE19" s="134">
        <v>100454672</v>
      </c>
      <c r="DF19" s="134">
        <v>104396105</v>
      </c>
      <c r="DG19" s="134">
        <v>88282914</v>
      </c>
      <c r="DH19" s="134">
        <v>105411161</v>
      </c>
      <c r="DI19" s="134">
        <v>98161977</v>
      </c>
      <c r="DJ19" s="134">
        <v>97666692</v>
      </c>
      <c r="DK19" s="134">
        <v>96148308</v>
      </c>
      <c r="DL19" s="134">
        <v>99369439</v>
      </c>
      <c r="DM19" s="134">
        <v>97579420</v>
      </c>
      <c r="DN19" s="134">
        <v>94990644</v>
      </c>
      <c r="DO19" s="134">
        <v>101618359</v>
      </c>
      <c r="DP19" s="134">
        <v>99343048</v>
      </c>
      <c r="DQ19" s="134">
        <v>101673127</v>
      </c>
      <c r="DR19" s="134">
        <v>106111429</v>
      </c>
      <c r="DS19" s="134">
        <v>95552893</v>
      </c>
      <c r="DT19" s="134">
        <v>103983109</v>
      </c>
      <c r="DU19" s="134">
        <v>100344125</v>
      </c>
      <c r="DV19" s="134">
        <v>101967710</v>
      </c>
      <c r="DW19" s="134">
        <v>100255921</v>
      </c>
      <c r="DX19" s="134">
        <v>101580882</v>
      </c>
      <c r="DY19" s="134">
        <v>101090659</v>
      </c>
      <c r="DZ19" s="134">
        <v>98915618</v>
      </c>
      <c r="EA19" s="134">
        <v>102656683</v>
      </c>
      <c r="EB19" s="134">
        <v>97901217</v>
      </c>
      <c r="EC19" s="134">
        <v>106421480</v>
      </c>
      <c r="ED19" s="134">
        <v>105315336</v>
      </c>
      <c r="EE19" s="134">
        <v>95956187</v>
      </c>
      <c r="EF19" s="134">
        <v>108177404</v>
      </c>
      <c r="EG19" s="134">
        <v>98943999</v>
      </c>
      <c r="EH19" s="134">
        <v>106497406</v>
      </c>
      <c r="EI19" s="134">
        <v>100665074</v>
      </c>
      <c r="EJ19" s="134">
        <v>105480287</v>
      </c>
      <c r="EK19" s="134">
        <v>97716091</v>
      </c>
      <c r="EL19" s="134">
        <v>101849677</v>
      </c>
      <c r="EM19" s="134">
        <v>108638653</v>
      </c>
      <c r="EN19" s="134">
        <v>103108914</v>
      </c>
      <c r="EO19" s="134">
        <v>110248033</v>
      </c>
      <c r="EP19" s="134">
        <v>109551763</v>
      </c>
      <c r="EQ19" s="134">
        <v>95660622</v>
      </c>
      <c r="ER19" s="134">
        <v>115581807</v>
      </c>
      <c r="ES19" s="134">
        <v>109053490</v>
      </c>
      <c r="ET19" s="134">
        <v>108120113</v>
      </c>
      <c r="EU19" s="134">
        <v>114441570</v>
      </c>
      <c r="EV19" s="134">
        <v>113793969</v>
      </c>
      <c r="EW19" s="134">
        <v>107805399</v>
      </c>
      <c r="EX19" s="134">
        <v>105698271</v>
      </c>
      <c r="EY19" s="134">
        <v>107560077</v>
      </c>
      <c r="EZ19" s="134">
        <v>110537249</v>
      </c>
      <c r="FA19" s="134">
        <v>114685144</v>
      </c>
    </row>
    <row r="20" spans="1:157" ht="20.100000000000001" customHeight="1">
      <c r="A20" s="211" t="s">
        <v>223</v>
      </c>
      <c r="B20" s="136" t="s">
        <v>283</v>
      </c>
      <c r="C20" s="134">
        <v>1290749</v>
      </c>
      <c r="D20" s="134">
        <v>1430974</v>
      </c>
      <c r="E20" s="134">
        <v>1631074</v>
      </c>
      <c r="F20" s="134">
        <v>1470762</v>
      </c>
      <c r="G20" s="134">
        <v>1719428</v>
      </c>
      <c r="H20" s="134">
        <v>1949352</v>
      </c>
      <c r="I20" s="134">
        <v>1863832</v>
      </c>
      <c r="J20" s="134">
        <v>2076805</v>
      </c>
      <c r="K20" s="134">
        <v>2208794</v>
      </c>
      <c r="L20" s="134">
        <v>2569133</v>
      </c>
      <c r="M20" s="134">
        <v>2616614</v>
      </c>
      <c r="N20" s="134">
        <v>214350</v>
      </c>
      <c r="O20" s="134">
        <v>205317</v>
      </c>
      <c r="P20" s="134">
        <v>246960</v>
      </c>
      <c r="Q20" s="134">
        <v>233289</v>
      </c>
      <c r="R20" s="134">
        <v>223858</v>
      </c>
      <c r="S20" s="134">
        <v>229386</v>
      </c>
      <c r="T20" s="134">
        <v>236369</v>
      </c>
      <c r="U20" s="134">
        <v>244578</v>
      </c>
      <c r="V20" s="134">
        <v>252715</v>
      </c>
      <c r="W20" s="134">
        <v>255662</v>
      </c>
      <c r="X20" s="134">
        <v>258788</v>
      </c>
      <c r="Y20" s="134">
        <v>252262</v>
      </c>
      <c r="Z20" s="134">
        <v>232870</v>
      </c>
      <c r="AA20" s="134">
        <v>227448</v>
      </c>
      <c r="AB20" s="134">
        <v>271477</v>
      </c>
      <c r="AC20" s="134">
        <v>258868</v>
      </c>
      <c r="AD20" s="134">
        <v>255119</v>
      </c>
      <c r="AE20" s="134">
        <v>258567</v>
      </c>
      <c r="AF20" s="134">
        <v>264413</v>
      </c>
      <c r="AG20" s="134">
        <v>267839</v>
      </c>
      <c r="AH20" s="134">
        <v>268314</v>
      </c>
      <c r="AI20" s="134">
        <v>280819</v>
      </c>
      <c r="AJ20" s="134">
        <v>281306</v>
      </c>
      <c r="AK20" s="134">
        <v>270925</v>
      </c>
      <c r="AL20" s="134">
        <v>258580</v>
      </c>
      <c r="AM20" s="134">
        <v>243157</v>
      </c>
      <c r="AN20" s="134">
        <v>276044</v>
      </c>
      <c r="AO20" s="134">
        <v>262168</v>
      </c>
      <c r="AP20" s="134">
        <v>258843</v>
      </c>
      <c r="AQ20" s="134">
        <v>257950</v>
      </c>
      <c r="AR20" s="134">
        <v>258375</v>
      </c>
      <c r="AS20" s="134">
        <v>256773</v>
      </c>
      <c r="AT20" s="134">
        <v>241628</v>
      </c>
      <c r="AU20" s="134">
        <v>252672</v>
      </c>
      <c r="AV20" s="134">
        <v>227478</v>
      </c>
      <c r="AW20" s="134">
        <v>203699</v>
      </c>
      <c r="AX20" s="134">
        <v>196390</v>
      </c>
      <c r="AY20" s="134">
        <v>203418</v>
      </c>
      <c r="AZ20" s="134">
        <v>235905</v>
      </c>
      <c r="BA20" s="134">
        <v>225882</v>
      </c>
      <c r="BB20" s="134">
        <v>228466</v>
      </c>
      <c r="BC20" s="134">
        <v>229166</v>
      </c>
      <c r="BD20" s="134">
        <v>245842</v>
      </c>
      <c r="BE20" s="134">
        <v>248691</v>
      </c>
      <c r="BF20" s="134">
        <v>252930</v>
      </c>
      <c r="BG20" s="134">
        <v>265669</v>
      </c>
      <c r="BH20" s="134">
        <v>273570</v>
      </c>
      <c r="BI20" s="134">
        <v>266540</v>
      </c>
      <c r="BJ20" s="134">
        <v>257397</v>
      </c>
      <c r="BK20" s="134">
        <v>247353</v>
      </c>
      <c r="BL20" s="134">
        <v>295056</v>
      </c>
      <c r="BM20" s="134">
        <v>279669</v>
      </c>
      <c r="BN20" s="134">
        <v>292224</v>
      </c>
      <c r="BO20" s="134">
        <v>275568</v>
      </c>
      <c r="BP20" s="134">
        <v>285807</v>
      </c>
      <c r="BQ20" s="134">
        <v>273383</v>
      </c>
      <c r="BR20" s="134">
        <v>267265</v>
      </c>
      <c r="BS20" s="134">
        <v>293630</v>
      </c>
      <c r="BT20" s="134">
        <v>279003</v>
      </c>
      <c r="BU20" s="134">
        <v>280529</v>
      </c>
      <c r="BV20" s="134">
        <v>270911</v>
      </c>
      <c r="BW20" s="134">
        <v>241652</v>
      </c>
      <c r="BX20" s="134">
        <v>293312</v>
      </c>
      <c r="BY20" s="134">
        <v>268977</v>
      </c>
      <c r="BZ20" s="134">
        <v>292224</v>
      </c>
      <c r="CA20" s="134">
        <v>265960</v>
      </c>
      <c r="CB20" s="134">
        <v>285807</v>
      </c>
      <c r="CC20" s="134">
        <v>271326</v>
      </c>
      <c r="CD20" s="134">
        <v>262019</v>
      </c>
      <c r="CE20" s="134">
        <v>279566</v>
      </c>
      <c r="CF20" s="134">
        <v>279003</v>
      </c>
      <c r="CG20" s="134">
        <v>273535</v>
      </c>
      <c r="CH20" s="134">
        <v>244871</v>
      </c>
      <c r="CI20" s="134">
        <v>258278</v>
      </c>
      <c r="CJ20" s="134">
        <v>279442</v>
      </c>
      <c r="CK20" s="134">
        <v>259728</v>
      </c>
      <c r="CL20" s="134">
        <v>261544</v>
      </c>
      <c r="CM20" s="134">
        <v>268138</v>
      </c>
      <c r="CN20" s="134">
        <v>273022</v>
      </c>
      <c r="CO20" s="134">
        <v>271055</v>
      </c>
      <c r="CP20" s="134">
        <v>272040</v>
      </c>
      <c r="CQ20" s="134">
        <v>276962</v>
      </c>
      <c r="CR20" s="134">
        <v>275477</v>
      </c>
      <c r="CS20" s="134">
        <v>268223</v>
      </c>
      <c r="CT20" s="134">
        <v>252785</v>
      </c>
      <c r="CU20" s="134">
        <v>233404</v>
      </c>
      <c r="CV20" s="134">
        <v>289265</v>
      </c>
      <c r="CW20" s="134">
        <v>269273</v>
      </c>
      <c r="CX20" s="134">
        <v>268719</v>
      </c>
      <c r="CY20" s="134">
        <v>266945</v>
      </c>
      <c r="CZ20" s="134">
        <v>270299</v>
      </c>
      <c r="DA20" s="134">
        <v>274628</v>
      </c>
      <c r="DB20" s="134">
        <v>267180</v>
      </c>
      <c r="DC20" s="134">
        <v>287395</v>
      </c>
      <c r="DD20" s="134">
        <v>286109</v>
      </c>
      <c r="DE20" s="134">
        <v>280251</v>
      </c>
      <c r="DF20" s="134">
        <v>272086</v>
      </c>
      <c r="DG20" s="134">
        <v>248300</v>
      </c>
      <c r="DH20" s="134">
        <v>301279</v>
      </c>
      <c r="DI20" s="134">
        <v>282093</v>
      </c>
      <c r="DJ20" s="134">
        <v>277803</v>
      </c>
      <c r="DK20" s="134">
        <v>276120</v>
      </c>
      <c r="DL20" s="134">
        <v>287654</v>
      </c>
      <c r="DM20" s="134">
        <v>291170</v>
      </c>
      <c r="DN20" s="134">
        <v>277139</v>
      </c>
      <c r="DO20" s="134">
        <v>300563</v>
      </c>
      <c r="DP20" s="134">
        <v>302790</v>
      </c>
      <c r="DQ20" s="134">
        <v>293745</v>
      </c>
      <c r="DR20" s="134">
        <v>282019</v>
      </c>
      <c r="DS20" s="134">
        <v>270763</v>
      </c>
      <c r="DT20" s="134">
        <v>317853</v>
      </c>
      <c r="DU20" s="134">
        <v>299151</v>
      </c>
      <c r="DV20" s="134">
        <v>295201</v>
      </c>
      <c r="DW20" s="134">
        <v>271056</v>
      </c>
      <c r="DX20" s="134">
        <v>280468</v>
      </c>
      <c r="DY20" s="134">
        <v>292477</v>
      </c>
      <c r="DZ20" s="134">
        <v>288959</v>
      </c>
      <c r="EA20" s="134">
        <v>312705</v>
      </c>
      <c r="EB20" s="134">
        <v>306126</v>
      </c>
      <c r="EC20" s="134">
        <v>301994</v>
      </c>
      <c r="ED20" s="134">
        <v>294786</v>
      </c>
      <c r="EE20" s="134">
        <v>264959</v>
      </c>
      <c r="EF20" s="134">
        <v>316880</v>
      </c>
      <c r="EG20" s="134">
        <v>307752</v>
      </c>
      <c r="EH20" s="134">
        <v>302793</v>
      </c>
      <c r="EI20" s="134">
        <v>314776</v>
      </c>
      <c r="EJ20" s="134">
        <v>322389</v>
      </c>
      <c r="EK20" s="134">
        <v>315115</v>
      </c>
      <c r="EL20" s="134">
        <v>317931</v>
      </c>
      <c r="EM20" s="134">
        <v>345149</v>
      </c>
      <c r="EN20" s="134">
        <v>335444</v>
      </c>
      <c r="EO20" s="134">
        <v>342934</v>
      </c>
      <c r="EP20" s="134">
        <v>322835</v>
      </c>
      <c r="EQ20" s="134">
        <v>305784</v>
      </c>
      <c r="ER20" s="134">
        <v>351657</v>
      </c>
      <c r="ES20" s="134">
        <v>329684</v>
      </c>
      <c r="ET20" s="134">
        <v>320348</v>
      </c>
      <c r="EU20" s="134">
        <v>324712</v>
      </c>
      <c r="EV20" s="134">
        <v>336720</v>
      </c>
      <c r="EW20" s="134">
        <v>337500</v>
      </c>
      <c r="EX20" s="134">
        <v>345167</v>
      </c>
      <c r="EY20" s="134">
        <v>339171</v>
      </c>
      <c r="EZ20" s="134">
        <v>358342</v>
      </c>
      <c r="FA20" s="134">
        <v>359594</v>
      </c>
    </row>
    <row r="21" spans="1:157" ht="20.100000000000001" customHeight="1">
      <c r="A21" s="150" t="s">
        <v>611</v>
      </c>
      <c r="B21" s="220"/>
      <c r="C21" s="221"/>
      <c r="D21" s="221"/>
      <c r="E21" s="221"/>
      <c r="F21" s="221"/>
      <c r="G21" s="221"/>
      <c r="H21" s="221"/>
      <c r="I21" s="221"/>
      <c r="J21" s="221"/>
      <c r="K21" s="221"/>
      <c r="L21" s="221"/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1"/>
      <c r="X21" s="221"/>
      <c r="Y21" s="221"/>
      <c r="Z21" s="221"/>
      <c r="AA21" s="221"/>
      <c r="AB21" s="221"/>
      <c r="AC21" s="221"/>
      <c r="AD21" s="221"/>
      <c r="AE21" s="221"/>
      <c r="AF21" s="221"/>
      <c r="AG21" s="221"/>
      <c r="AH21" s="221"/>
      <c r="AI21" s="221"/>
      <c r="AJ21" s="221"/>
      <c r="AK21" s="221"/>
      <c r="AL21" s="221"/>
      <c r="AM21" s="221"/>
      <c r="AN21" s="221"/>
      <c r="AO21" s="221"/>
      <c r="AP21" s="221"/>
      <c r="AQ21" s="221"/>
      <c r="AR21" s="221"/>
      <c r="AS21" s="221"/>
      <c r="AT21" s="221"/>
      <c r="AU21" s="221"/>
      <c r="AV21" s="221"/>
      <c r="AW21" s="221"/>
      <c r="AX21" s="221"/>
      <c r="AY21" s="221"/>
      <c r="AZ21" s="221"/>
      <c r="BA21" s="221"/>
      <c r="BB21" s="221"/>
      <c r="BC21" s="221"/>
      <c r="BD21" s="221"/>
      <c r="BE21" s="221"/>
      <c r="BF21" s="221"/>
      <c r="BG21" s="221"/>
      <c r="BH21" s="221"/>
      <c r="BI21" s="221"/>
      <c r="BJ21" s="221"/>
      <c r="BK21" s="221"/>
      <c r="BL21" s="221"/>
      <c r="BM21" s="221"/>
      <c r="BN21" s="221"/>
      <c r="BO21" s="221"/>
      <c r="BP21" s="221"/>
      <c r="BQ21" s="221"/>
      <c r="BR21" s="221"/>
      <c r="BS21" s="221"/>
      <c r="BT21" s="221"/>
      <c r="BU21" s="221"/>
      <c r="BV21" s="221"/>
      <c r="BW21" s="221"/>
      <c r="BX21" s="221"/>
      <c r="BY21" s="221"/>
      <c r="BZ21" s="221"/>
      <c r="CA21" s="221"/>
      <c r="CB21" s="221"/>
      <c r="CC21" s="221"/>
      <c r="CD21" s="221"/>
      <c r="CE21" s="221"/>
      <c r="CF21" s="221"/>
      <c r="CG21" s="221"/>
      <c r="CH21" s="221"/>
      <c r="CI21" s="221"/>
      <c r="CJ21" s="221"/>
      <c r="CK21" s="221"/>
      <c r="CL21" s="221"/>
      <c r="CM21" s="221"/>
      <c r="CN21" s="221"/>
      <c r="CO21" s="221"/>
      <c r="CP21" s="221"/>
      <c r="CQ21" s="221"/>
      <c r="CR21" s="221"/>
      <c r="CS21" s="221"/>
      <c r="CT21" s="221"/>
      <c r="CU21" s="221"/>
      <c r="CV21" s="221"/>
      <c r="CW21" s="221"/>
      <c r="CX21" s="221"/>
      <c r="CY21" s="221"/>
      <c r="CZ21" s="221"/>
      <c r="DA21" s="221"/>
      <c r="DB21" s="221"/>
      <c r="DC21" s="221"/>
      <c r="DD21" s="221"/>
      <c r="DE21" s="221"/>
      <c r="DF21" s="221"/>
      <c r="DG21" s="221"/>
      <c r="DH21" s="221"/>
      <c r="DI21" s="221"/>
      <c r="DJ21" s="221"/>
      <c r="DK21" s="221"/>
      <c r="DL21" s="221"/>
      <c r="DM21" s="221"/>
      <c r="DN21" s="221"/>
      <c r="DO21" s="221"/>
      <c r="DP21" s="221"/>
      <c r="DQ21" s="221"/>
      <c r="DR21" s="221"/>
      <c r="DS21" s="221"/>
      <c r="DT21" s="221"/>
      <c r="DU21" s="221"/>
      <c r="DV21" s="221"/>
      <c r="DW21" s="221"/>
      <c r="DX21" s="221"/>
      <c r="DY21" s="221"/>
      <c r="DZ21" s="221"/>
      <c r="EA21" s="221"/>
      <c r="EB21" s="221"/>
      <c r="EC21" s="221"/>
      <c r="ED21" s="221"/>
      <c r="EE21" s="221"/>
      <c r="EF21" s="221"/>
      <c r="EG21" s="221"/>
      <c r="EH21" s="221"/>
      <c r="EI21" s="221"/>
      <c r="EJ21" s="221"/>
      <c r="EK21" s="221"/>
      <c r="EL21" s="221"/>
      <c r="EM21" s="221"/>
      <c r="EN21" s="221"/>
      <c r="EO21" s="221"/>
      <c r="EP21" s="221"/>
      <c r="EQ21" s="221"/>
      <c r="ER21" s="221"/>
      <c r="ES21" s="221"/>
      <c r="ET21" s="221"/>
      <c r="EU21" s="221"/>
      <c r="EV21" s="221"/>
      <c r="EW21" s="221"/>
      <c r="EX21" s="221"/>
      <c r="EY21" s="221"/>
      <c r="EZ21" s="221"/>
      <c r="FA21" s="221"/>
    </row>
    <row r="22" spans="1:157" ht="20.100000000000001" customHeight="1">
      <c r="A22" s="223" t="s">
        <v>323</v>
      </c>
      <c r="B22" s="223" t="s">
        <v>324</v>
      </c>
      <c r="C22" s="224">
        <v>1995</v>
      </c>
      <c r="D22" s="224">
        <v>1996</v>
      </c>
      <c r="E22" s="224">
        <v>1997</v>
      </c>
      <c r="F22" s="224">
        <v>1998</v>
      </c>
      <c r="G22" s="224">
        <v>1999</v>
      </c>
      <c r="H22" s="224">
        <v>2000</v>
      </c>
      <c r="I22" s="224">
        <v>2001</v>
      </c>
      <c r="J22" s="224">
        <v>2002</v>
      </c>
      <c r="K22" s="224">
        <v>2003</v>
      </c>
      <c r="L22" s="224">
        <v>2004</v>
      </c>
      <c r="M22" s="224">
        <v>2005</v>
      </c>
      <c r="N22" s="225">
        <v>2006</v>
      </c>
      <c r="O22" s="225">
        <v>2007</v>
      </c>
      <c r="P22" s="225">
        <v>2008</v>
      </c>
      <c r="Q22" s="225">
        <v>2009</v>
      </c>
      <c r="R22" s="225">
        <v>2010</v>
      </c>
      <c r="S22" s="225">
        <v>2011</v>
      </c>
      <c r="T22" s="225">
        <v>2012</v>
      </c>
      <c r="U22" s="225">
        <v>2013</v>
      </c>
      <c r="V22" s="225">
        <v>2014</v>
      </c>
      <c r="W22" s="225">
        <v>2015</v>
      </c>
      <c r="X22" s="225">
        <v>2016</v>
      </c>
      <c r="Y22" s="225">
        <v>2017</v>
      </c>
      <c r="Z22" s="221"/>
      <c r="AA22" s="221"/>
      <c r="AB22" s="221"/>
      <c r="AC22" s="221"/>
      <c r="AD22" s="221"/>
      <c r="AE22" s="221"/>
      <c r="AF22" s="221"/>
      <c r="AG22" s="221"/>
      <c r="AH22" s="221"/>
      <c r="AI22" s="221"/>
      <c r="AJ22" s="221"/>
      <c r="AK22" s="221"/>
      <c r="AL22" s="221"/>
      <c r="AM22" s="221"/>
      <c r="AN22" s="221"/>
      <c r="AO22" s="221"/>
      <c r="AP22" s="221"/>
      <c r="AQ22" s="221"/>
      <c r="AR22" s="221"/>
      <c r="AS22" s="221"/>
      <c r="AT22" s="221"/>
      <c r="AU22" s="221"/>
      <c r="AV22" s="221"/>
      <c r="AW22" s="221"/>
      <c r="AX22" s="221"/>
      <c r="AY22" s="221"/>
      <c r="AZ22" s="221"/>
      <c r="BA22" s="221"/>
      <c r="BB22" s="221"/>
      <c r="BC22" s="221"/>
      <c r="BD22" s="221"/>
      <c r="BE22" s="221"/>
      <c r="BF22" s="221"/>
      <c r="BG22" s="221"/>
      <c r="BH22" s="221"/>
      <c r="BI22" s="221"/>
      <c r="BJ22" s="221"/>
      <c r="BK22" s="221"/>
      <c r="BL22" s="221"/>
      <c r="BM22" s="221"/>
      <c r="BN22" s="221"/>
      <c r="BO22" s="221"/>
      <c r="BP22" s="221"/>
      <c r="BQ22" s="221"/>
      <c r="BR22" s="221"/>
      <c r="BS22" s="221"/>
      <c r="BT22" s="221"/>
      <c r="BU22" s="221"/>
      <c r="BV22" s="221"/>
      <c r="BW22" s="221"/>
      <c r="BX22" s="221"/>
      <c r="BY22" s="221"/>
      <c r="BZ22" s="221"/>
      <c r="CA22" s="221"/>
      <c r="CB22" s="221"/>
      <c r="CC22" s="221"/>
      <c r="CD22" s="221"/>
      <c r="CE22" s="221"/>
      <c r="CF22" s="221"/>
      <c r="CG22" s="221"/>
      <c r="CH22" s="221"/>
      <c r="CI22" s="221"/>
      <c r="CJ22" s="221"/>
      <c r="CK22" s="221"/>
      <c r="CL22" s="221"/>
      <c r="CM22" s="221"/>
      <c r="CN22" s="221"/>
      <c r="CO22" s="221"/>
      <c r="CP22" s="221"/>
      <c r="CQ22" s="221"/>
      <c r="CR22" s="221"/>
      <c r="CS22" s="221"/>
      <c r="CT22" s="221"/>
      <c r="CU22" s="221"/>
      <c r="CV22" s="221"/>
      <c r="CW22" s="221"/>
      <c r="CX22" s="221"/>
      <c r="CY22" s="221"/>
      <c r="CZ22" s="221"/>
      <c r="DA22" s="221"/>
      <c r="DB22" s="221"/>
      <c r="DC22" s="221"/>
      <c r="DD22" s="221"/>
      <c r="DE22" s="221"/>
      <c r="DF22" s="221"/>
      <c r="DG22" s="221"/>
      <c r="DH22" s="221"/>
      <c r="DI22" s="221"/>
      <c r="DJ22" s="221"/>
      <c r="DK22" s="221"/>
      <c r="DL22" s="221"/>
      <c r="DM22" s="221"/>
      <c r="DN22" s="221"/>
      <c r="DO22" s="221"/>
      <c r="DP22" s="221"/>
      <c r="DQ22" s="221"/>
      <c r="DR22" s="221"/>
      <c r="DS22" s="221"/>
      <c r="DT22" s="221"/>
      <c r="DU22" s="221"/>
      <c r="DV22" s="221"/>
      <c r="DW22" s="221"/>
      <c r="DX22" s="221"/>
      <c r="DY22" s="221"/>
      <c r="DZ22" s="221"/>
      <c r="EA22" s="221"/>
      <c r="EB22" s="221"/>
      <c r="EC22" s="221"/>
      <c r="ED22" s="221"/>
      <c r="EE22" s="221"/>
      <c r="EF22" s="221"/>
      <c r="EG22" s="221"/>
      <c r="EH22" s="221"/>
      <c r="EI22" s="221"/>
      <c r="EJ22" s="221"/>
      <c r="EK22" s="221"/>
      <c r="EL22" s="221"/>
      <c r="EM22" s="221"/>
      <c r="EN22" s="221"/>
      <c r="EO22" s="221"/>
      <c r="EP22" s="221"/>
      <c r="EQ22" s="221"/>
      <c r="ER22" s="221"/>
      <c r="ES22" s="221"/>
      <c r="ET22" s="221"/>
      <c r="EU22" s="221"/>
      <c r="EV22" s="221"/>
      <c r="EW22" s="221"/>
      <c r="EX22" s="221"/>
      <c r="EY22" s="221"/>
      <c r="EZ22" s="221"/>
      <c r="FA22" s="221"/>
    </row>
    <row r="23" spans="1:157" ht="20.100000000000001" customHeight="1">
      <c r="A23" s="444" t="s">
        <v>288</v>
      </c>
      <c r="B23" s="133" t="s">
        <v>10</v>
      </c>
      <c r="C23" s="134">
        <v>595272320</v>
      </c>
      <c r="D23" s="134">
        <v>621239664</v>
      </c>
      <c r="E23" s="134">
        <v>700344184</v>
      </c>
      <c r="F23" s="134">
        <v>567023195</v>
      </c>
      <c r="G23" s="134">
        <v>567344200</v>
      </c>
      <c r="H23" s="134">
        <v>676315453</v>
      </c>
      <c r="I23" s="134">
        <v>721822691</v>
      </c>
      <c r="J23" s="134">
        <v>772444316</v>
      </c>
      <c r="K23" s="134">
        <v>758315596</v>
      </c>
      <c r="L23" s="134">
        <v>679412965</v>
      </c>
      <c r="M23" s="134">
        <v>687451212</v>
      </c>
      <c r="N23" s="222">
        <f>SUM(N13:Y13)</f>
        <v>690778476</v>
      </c>
      <c r="O23" s="222">
        <f>SUM(Z13:AK13)</f>
        <v>715221847</v>
      </c>
      <c r="P23" s="222">
        <f>SUM(AL13:AW13)</f>
        <v>729825526</v>
      </c>
      <c r="Q23" s="222">
        <f>SUM(AX13:BI13)</f>
        <v>766678616</v>
      </c>
      <c r="R23" s="222">
        <f>SUM(BJ13:BU13)</f>
        <v>778030531</v>
      </c>
      <c r="S23" s="222">
        <f>SUM(BV13:CG13)</f>
        <v>784760643</v>
      </c>
      <c r="T23" s="222">
        <f>SUM(CH13:CS13)</f>
        <v>892550431</v>
      </c>
      <c r="U23" s="222">
        <f>SUM(CT13:DE13)</f>
        <v>879311786</v>
      </c>
      <c r="V23" s="222">
        <f>SUM(DF13:DQ13)</f>
        <v>810628011</v>
      </c>
      <c r="W23" s="222">
        <f>SUM(DR13:EC13)</f>
        <v>0</v>
      </c>
      <c r="X23" s="222">
        <f>SUM(ED13:EO13)</f>
        <v>0</v>
      </c>
      <c r="Y23" s="222">
        <f>SUM(EP13:FA13)</f>
        <v>0</v>
      </c>
      <c r="Z23" s="221"/>
      <c r="AA23" s="221"/>
      <c r="AB23" s="221"/>
      <c r="AC23" s="221"/>
      <c r="AD23" s="221"/>
      <c r="AE23" s="221"/>
      <c r="AF23" s="221"/>
      <c r="AG23" s="221"/>
      <c r="AH23" s="221"/>
      <c r="AI23" s="221"/>
      <c r="AJ23" s="221"/>
      <c r="AK23" s="221"/>
      <c r="AL23" s="221"/>
      <c r="AM23" s="221"/>
      <c r="AN23" s="221"/>
      <c r="AO23" s="221"/>
      <c r="AP23" s="221"/>
      <c r="AQ23" s="221"/>
      <c r="AR23" s="221"/>
      <c r="AS23" s="221"/>
      <c r="AT23" s="221"/>
      <c r="AU23" s="221"/>
      <c r="AV23" s="221"/>
      <c r="AW23" s="221"/>
      <c r="AX23" s="221"/>
      <c r="AY23" s="221"/>
      <c r="AZ23" s="221"/>
      <c r="BA23" s="221"/>
      <c r="BB23" s="221"/>
      <c r="BC23" s="221"/>
      <c r="BD23" s="221"/>
      <c r="BE23" s="221"/>
      <c r="BF23" s="221"/>
      <c r="BG23" s="221"/>
      <c r="BH23" s="221"/>
      <c r="BI23" s="221"/>
      <c r="BJ23" s="221"/>
      <c r="BK23" s="221"/>
      <c r="BL23" s="221"/>
      <c r="BM23" s="221"/>
      <c r="BN23" s="221"/>
      <c r="BO23" s="221"/>
      <c r="BP23" s="221"/>
      <c r="BQ23" s="221"/>
      <c r="BR23" s="221"/>
      <c r="BS23" s="221"/>
      <c r="BT23" s="221"/>
      <c r="BU23" s="221"/>
      <c r="BV23" s="221"/>
      <c r="BW23" s="221"/>
      <c r="BX23" s="221"/>
      <c r="BY23" s="221"/>
      <c r="BZ23" s="221"/>
      <c r="CA23" s="221"/>
      <c r="CB23" s="221"/>
      <c r="CC23" s="221"/>
      <c r="CD23" s="221"/>
      <c r="CE23" s="221"/>
      <c r="CF23" s="221"/>
      <c r="CG23" s="221"/>
      <c r="CH23" s="221"/>
      <c r="CI23" s="221"/>
      <c r="CJ23" s="221"/>
      <c r="CK23" s="221"/>
      <c r="CL23" s="221"/>
      <c r="CM23" s="221"/>
      <c r="CN23" s="221"/>
      <c r="CO23" s="221"/>
      <c r="CP23" s="221"/>
      <c r="CQ23" s="221"/>
      <c r="CR23" s="221"/>
      <c r="CS23" s="221"/>
      <c r="CT23" s="221"/>
      <c r="CU23" s="221"/>
      <c r="CV23" s="221"/>
      <c r="CW23" s="221"/>
      <c r="CX23" s="221"/>
      <c r="CY23" s="221"/>
      <c r="CZ23" s="221"/>
      <c r="DA23" s="221"/>
      <c r="DB23" s="221"/>
      <c r="DC23" s="221"/>
      <c r="DD23" s="221"/>
      <c r="DE23" s="221"/>
      <c r="DF23" s="221"/>
      <c r="DG23" s="221"/>
      <c r="DH23" s="221"/>
      <c r="DI23" s="221"/>
      <c r="DJ23" s="221"/>
      <c r="DK23" s="221"/>
      <c r="DL23" s="221"/>
      <c r="DM23" s="221"/>
      <c r="DN23" s="221"/>
      <c r="DO23" s="221"/>
      <c r="DP23" s="221"/>
      <c r="DQ23" s="221"/>
      <c r="DR23" s="221"/>
      <c r="DS23" s="221"/>
      <c r="DT23" s="221"/>
      <c r="DU23" s="221"/>
      <c r="DV23" s="221"/>
      <c r="DW23" s="221"/>
      <c r="DX23" s="221"/>
      <c r="DY23" s="221"/>
      <c r="DZ23" s="221"/>
      <c r="EA23" s="221"/>
      <c r="EB23" s="221"/>
      <c r="EC23" s="221"/>
      <c r="ED23" s="221"/>
      <c r="EE23" s="221"/>
      <c r="EF23" s="221"/>
      <c r="EG23" s="221"/>
      <c r="EH23" s="221"/>
      <c r="EI23" s="221"/>
      <c r="EJ23" s="221"/>
      <c r="EK23" s="221"/>
      <c r="EL23" s="221"/>
      <c r="EM23" s="221"/>
      <c r="EN23" s="221"/>
      <c r="EO23" s="221"/>
      <c r="EP23" s="221"/>
      <c r="EQ23" s="221"/>
      <c r="ER23" s="221"/>
      <c r="ES23" s="221"/>
      <c r="ET23" s="221"/>
      <c r="EU23" s="221"/>
      <c r="EV23" s="221"/>
      <c r="EW23" s="221"/>
      <c r="EX23" s="221"/>
      <c r="EY23" s="221"/>
      <c r="EZ23" s="221"/>
      <c r="FA23" s="221"/>
    </row>
    <row r="24" spans="1:157" ht="20.100000000000001" customHeight="1">
      <c r="A24" s="445"/>
      <c r="B24" s="133" t="s">
        <v>287</v>
      </c>
      <c r="C24" s="134">
        <v>57469339</v>
      </c>
      <c r="D24" s="134">
        <v>53526971</v>
      </c>
      <c r="E24" s="134">
        <v>53827826</v>
      </c>
      <c r="F24" s="134">
        <v>43344820</v>
      </c>
      <c r="G24" s="134">
        <v>42080967</v>
      </c>
      <c r="H24" s="134">
        <v>45239839</v>
      </c>
      <c r="I24" s="134">
        <v>45122332</v>
      </c>
      <c r="J24" s="134">
        <v>45732629</v>
      </c>
      <c r="K24" s="134">
        <v>47109970</v>
      </c>
      <c r="L24" s="134">
        <v>44512467</v>
      </c>
      <c r="M24" s="134">
        <v>41668802</v>
      </c>
      <c r="N24" s="222">
        <f t="shared" ref="N24:N30" si="0">SUM(N14:Y14)</f>
        <v>43340580</v>
      </c>
      <c r="O24" s="222">
        <f t="shared" ref="O24:O30" si="1">SUM(Z14:AK14)</f>
        <v>44561779</v>
      </c>
      <c r="P24" s="222">
        <f t="shared" ref="P24:P30" si="2">SUM(AL14:AW14)</f>
        <v>46805688</v>
      </c>
      <c r="Q24" s="222">
        <f t="shared" ref="Q24:Q30" si="3">SUM(AX14:BI14)</f>
        <v>38897704</v>
      </c>
      <c r="R24" s="222">
        <f t="shared" ref="R24:R30" si="4">SUM(BJ14:BU14)</f>
        <v>39217445</v>
      </c>
      <c r="S24" s="222">
        <f t="shared" ref="S24:S30" si="5">SUM(BV14:CG14)</f>
        <v>40283715</v>
      </c>
      <c r="T24" s="222">
        <f t="shared" ref="T24:T30" si="6">SUM(CH14:CS14)</f>
        <v>40308928</v>
      </c>
      <c r="U24" s="222">
        <f t="shared" ref="U24:U30" si="7">SUM(CT14:DE14)</f>
        <v>39822270</v>
      </c>
      <c r="V24" s="222">
        <f t="shared" ref="V24:V30" si="8">SUM(DF14:DQ14)</f>
        <v>37379168</v>
      </c>
      <c r="W24" s="222">
        <f t="shared" ref="W24:W30" si="9">SUM(DR14:EC14)</f>
        <v>37093642</v>
      </c>
      <c r="X24" s="222">
        <f t="shared" ref="X24:X30" si="10">SUM(ED14:EO14)</f>
        <v>32555441</v>
      </c>
      <c r="Y24" s="222">
        <f t="shared" ref="Y24:Y30" si="11">SUM(EP14:FA14)</f>
        <v>31669610</v>
      </c>
      <c r="Z24" s="221"/>
      <c r="AA24" s="221"/>
      <c r="AB24" s="221"/>
      <c r="AC24" s="221"/>
      <c r="AD24" s="221"/>
      <c r="AE24" s="221"/>
      <c r="AF24" s="221"/>
      <c r="AG24" s="221"/>
      <c r="AH24" s="221"/>
      <c r="AI24" s="221"/>
      <c r="AJ24" s="221"/>
      <c r="AK24" s="221"/>
      <c r="AL24" s="221"/>
      <c r="AM24" s="221"/>
      <c r="AN24" s="221"/>
      <c r="AO24" s="221"/>
      <c r="AP24" s="221"/>
      <c r="AQ24" s="221"/>
      <c r="AR24" s="221"/>
      <c r="AS24" s="221"/>
      <c r="AT24" s="221"/>
      <c r="AU24" s="221"/>
      <c r="AV24" s="221"/>
      <c r="AW24" s="221"/>
      <c r="AX24" s="221"/>
      <c r="AY24" s="221"/>
      <c r="AZ24" s="221"/>
      <c r="BA24" s="221"/>
      <c r="BB24" s="221"/>
      <c r="BC24" s="221"/>
      <c r="BD24" s="221"/>
      <c r="BE24" s="221"/>
      <c r="BF24" s="221"/>
      <c r="BG24" s="221"/>
      <c r="BH24" s="221"/>
      <c r="BI24" s="221"/>
      <c r="BJ24" s="221"/>
      <c r="BK24" s="221"/>
      <c r="BL24" s="221"/>
      <c r="BM24" s="221"/>
      <c r="BN24" s="221"/>
      <c r="BO24" s="221"/>
      <c r="BP24" s="221"/>
      <c r="BQ24" s="221"/>
      <c r="BR24" s="221"/>
      <c r="BS24" s="221"/>
      <c r="BT24" s="221"/>
      <c r="BU24" s="221"/>
      <c r="BV24" s="221"/>
      <c r="BW24" s="221"/>
      <c r="BX24" s="221"/>
      <c r="BY24" s="221"/>
      <c r="BZ24" s="221"/>
      <c r="CA24" s="221"/>
      <c r="CB24" s="221"/>
      <c r="CC24" s="221"/>
      <c r="CD24" s="221"/>
      <c r="CE24" s="221"/>
      <c r="CF24" s="221"/>
      <c r="CG24" s="221"/>
      <c r="CH24" s="221"/>
      <c r="CI24" s="221"/>
      <c r="CJ24" s="221"/>
      <c r="CK24" s="221"/>
      <c r="CL24" s="221"/>
      <c r="CM24" s="221"/>
      <c r="CN24" s="221"/>
      <c r="CO24" s="221"/>
      <c r="CP24" s="221"/>
      <c r="CQ24" s="221"/>
      <c r="CR24" s="221"/>
      <c r="CS24" s="221"/>
      <c r="CT24" s="221"/>
      <c r="CU24" s="221"/>
      <c r="CV24" s="221"/>
      <c r="CW24" s="221"/>
      <c r="CX24" s="221"/>
      <c r="CY24" s="221"/>
      <c r="CZ24" s="221"/>
      <c r="DA24" s="221"/>
      <c r="DB24" s="221"/>
      <c r="DC24" s="221"/>
      <c r="DD24" s="221"/>
      <c r="DE24" s="221"/>
      <c r="DF24" s="221"/>
      <c r="DG24" s="221"/>
      <c r="DH24" s="221"/>
      <c r="DI24" s="221"/>
      <c r="DJ24" s="221"/>
      <c r="DK24" s="221"/>
      <c r="DL24" s="221"/>
      <c r="DM24" s="221"/>
      <c r="DN24" s="221"/>
      <c r="DO24" s="221"/>
      <c r="DP24" s="221"/>
      <c r="DQ24" s="221"/>
      <c r="DR24" s="221"/>
      <c r="DS24" s="221"/>
      <c r="DT24" s="221"/>
      <c r="DU24" s="221"/>
      <c r="DV24" s="221"/>
      <c r="DW24" s="221"/>
      <c r="DX24" s="221"/>
      <c r="DY24" s="221"/>
      <c r="DZ24" s="221"/>
      <c r="EA24" s="221"/>
      <c r="EB24" s="221"/>
      <c r="EC24" s="221"/>
      <c r="ED24" s="221"/>
      <c r="EE24" s="221"/>
      <c r="EF24" s="221"/>
      <c r="EG24" s="221"/>
      <c r="EH24" s="221"/>
      <c r="EI24" s="221"/>
      <c r="EJ24" s="221"/>
      <c r="EK24" s="221"/>
      <c r="EL24" s="221"/>
      <c r="EM24" s="221"/>
      <c r="EN24" s="221"/>
      <c r="EO24" s="221"/>
      <c r="EP24" s="221"/>
      <c r="EQ24" s="221"/>
      <c r="ER24" s="221"/>
      <c r="ES24" s="221"/>
      <c r="ET24" s="221"/>
      <c r="EU24" s="221"/>
      <c r="EV24" s="221"/>
      <c r="EW24" s="221"/>
      <c r="EX24" s="221"/>
      <c r="EY24" s="221"/>
      <c r="EZ24" s="221"/>
      <c r="FA24" s="221"/>
    </row>
    <row r="25" spans="1:157" ht="20.100000000000001" customHeight="1">
      <c r="A25" s="445"/>
      <c r="B25" s="133" t="s">
        <v>606</v>
      </c>
      <c r="C25" s="134">
        <v>408368372</v>
      </c>
      <c r="D25" s="134">
        <v>426413788</v>
      </c>
      <c r="E25" s="134">
        <v>499083185</v>
      </c>
      <c r="F25" s="134">
        <v>408136000</v>
      </c>
      <c r="G25" s="134">
        <v>401177000</v>
      </c>
      <c r="H25" s="134">
        <v>496174000</v>
      </c>
      <c r="I25" s="134">
        <v>535725000</v>
      </c>
      <c r="J25" s="134">
        <v>584573000</v>
      </c>
      <c r="K25" s="134">
        <v>565456252</v>
      </c>
      <c r="L25" s="134">
        <v>518855708</v>
      </c>
      <c r="M25" s="134">
        <v>526000147</v>
      </c>
      <c r="N25" s="222">
        <f t="shared" si="0"/>
        <v>529277871</v>
      </c>
      <c r="O25" s="222">
        <f t="shared" si="1"/>
        <v>550264471</v>
      </c>
      <c r="P25" s="222">
        <f t="shared" si="2"/>
        <v>555801345</v>
      </c>
      <c r="Q25" s="222">
        <f t="shared" si="3"/>
        <v>607480325</v>
      </c>
      <c r="R25" s="222">
        <f t="shared" si="4"/>
        <v>619529647</v>
      </c>
      <c r="S25" s="222">
        <f t="shared" si="5"/>
        <v>631175068</v>
      </c>
      <c r="T25" s="222">
        <f t="shared" si="6"/>
        <v>732918919</v>
      </c>
      <c r="U25" s="222">
        <f t="shared" si="7"/>
        <v>721376719</v>
      </c>
      <c r="V25" s="222">
        <f t="shared" si="8"/>
        <v>655045636</v>
      </c>
      <c r="W25" s="222">
        <f t="shared" si="9"/>
        <v>0</v>
      </c>
      <c r="X25" s="222">
        <f t="shared" si="10"/>
        <v>0</v>
      </c>
      <c r="Y25" s="222">
        <f t="shared" si="11"/>
        <v>0</v>
      </c>
      <c r="Z25" s="221"/>
      <c r="AA25" s="221"/>
      <c r="AB25" s="221"/>
      <c r="AC25" s="221"/>
      <c r="AD25" s="221"/>
      <c r="AE25" s="221"/>
      <c r="AF25" s="221"/>
      <c r="AG25" s="221"/>
      <c r="AH25" s="221"/>
      <c r="AI25" s="221"/>
      <c r="AJ25" s="221"/>
      <c r="AK25" s="221"/>
      <c r="AL25" s="221"/>
      <c r="AM25" s="221"/>
      <c r="AN25" s="221"/>
      <c r="AO25" s="221"/>
      <c r="AP25" s="221"/>
      <c r="AQ25" s="221"/>
      <c r="AR25" s="221"/>
      <c r="AS25" s="221"/>
      <c r="AT25" s="221"/>
      <c r="AU25" s="221"/>
      <c r="AV25" s="221"/>
      <c r="AW25" s="221"/>
      <c r="AX25" s="221"/>
      <c r="AY25" s="221"/>
      <c r="AZ25" s="221"/>
      <c r="BA25" s="221"/>
      <c r="BB25" s="221"/>
      <c r="BC25" s="221"/>
      <c r="BD25" s="221"/>
      <c r="BE25" s="221"/>
      <c r="BF25" s="221"/>
      <c r="BG25" s="221"/>
      <c r="BH25" s="221"/>
      <c r="BI25" s="221"/>
      <c r="BJ25" s="221"/>
      <c r="BK25" s="221"/>
      <c r="BL25" s="221"/>
      <c r="BM25" s="221"/>
      <c r="BN25" s="221"/>
      <c r="BO25" s="221"/>
      <c r="BP25" s="221"/>
      <c r="BQ25" s="221"/>
      <c r="BR25" s="221"/>
      <c r="BS25" s="221"/>
      <c r="BT25" s="221"/>
      <c r="BU25" s="221"/>
      <c r="BV25" s="221"/>
      <c r="BW25" s="221"/>
      <c r="BX25" s="221"/>
      <c r="BY25" s="221"/>
      <c r="BZ25" s="221"/>
      <c r="CA25" s="221"/>
      <c r="CB25" s="221"/>
      <c r="CC25" s="221"/>
      <c r="CD25" s="221"/>
      <c r="CE25" s="221"/>
      <c r="CF25" s="221"/>
      <c r="CG25" s="221"/>
      <c r="CH25" s="221"/>
      <c r="CI25" s="221"/>
      <c r="CJ25" s="221"/>
      <c r="CK25" s="221"/>
      <c r="CL25" s="221"/>
      <c r="CM25" s="221"/>
      <c r="CN25" s="221"/>
      <c r="CO25" s="221"/>
      <c r="CP25" s="221"/>
      <c r="CQ25" s="221"/>
      <c r="CR25" s="221"/>
      <c r="CS25" s="221"/>
      <c r="CT25" s="221"/>
      <c r="CU25" s="221"/>
      <c r="CV25" s="221"/>
      <c r="CW25" s="221"/>
      <c r="CX25" s="221"/>
      <c r="CY25" s="221"/>
      <c r="CZ25" s="221"/>
      <c r="DA25" s="221"/>
      <c r="DB25" s="221"/>
      <c r="DC25" s="221"/>
      <c r="DD25" s="221"/>
      <c r="DE25" s="221"/>
      <c r="DF25" s="221"/>
      <c r="DG25" s="221"/>
      <c r="DH25" s="221"/>
      <c r="DI25" s="221"/>
      <c r="DJ25" s="221"/>
      <c r="DK25" s="221"/>
      <c r="DL25" s="221"/>
      <c r="DM25" s="221"/>
      <c r="DN25" s="221"/>
      <c r="DO25" s="221"/>
      <c r="DP25" s="221"/>
      <c r="DQ25" s="221"/>
      <c r="DR25" s="221"/>
      <c r="DS25" s="221"/>
      <c r="DT25" s="221"/>
      <c r="DU25" s="221"/>
      <c r="DV25" s="221"/>
      <c r="DW25" s="221"/>
      <c r="DX25" s="221"/>
      <c r="DY25" s="221"/>
      <c r="DZ25" s="221"/>
      <c r="EA25" s="221"/>
      <c r="EB25" s="221"/>
      <c r="EC25" s="221"/>
      <c r="ED25" s="221"/>
      <c r="EE25" s="221"/>
      <c r="EF25" s="221"/>
      <c r="EG25" s="221"/>
      <c r="EH25" s="221"/>
      <c r="EI25" s="221"/>
      <c r="EJ25" s="221"/>
      <c r="EK25" s="221"/>
      <c r="EL25" s="221"/>
      <c r="EM25" s="221"/>
      <c r="EN25" s="221"/>
      <c r="EO25" s="221"/>
      <c r="EP25" s="221"/>
      <c r="EQ25" s="221"/>
      <c r="ER25" s="221"/>
      <c r="ES25" s="221"/>
      <c r="ET25" s="221"/>
      <c r="EU25" s="221"/>
      <c r="EV25" s="221"/>
      <c r="EW25" s="221"/>
      <c r="EX25" s="221"/>
      <c r="EY25" s="221"/>
      <c r="EZ25" s="221"/>
      <c r="FA25" s="221"/>
    </row>
    <row r="26" spans="1:157" ht="20.100000000000001" customHeight="1">
      <c r="A26" s="445"/>
      <c r="B26" s="133" t="s">
        <v>285</v>
      </c>
      <c r="C26" s="134">
        <v>129111889</v>
      </c>
      <c r="D26" s="134">
        <v>140947542</v>
      </c>
      <c r="E26" s="134">
        <v>147045854</v>
      </c>
      <c r="F26" s="134">
        <v>115178828</v>
      </c>
      <c r="G26" s="134">
        <v>123692958</v>
      </c>
      <c r="H26" s="134">
        <v>134467386</v>
      </c>
      <c r="I26" s="134">
        <v>140544327</v>
      </c>
      <c r="J26" s="134">
        <v>141705985</v>
      </c>
      <c r="K26" s="134">
        <v>145326809</v>
      </c>
      <c r="L26" s="134">
        <v>115635806</v>
      </c>
      <c r="M26" s="134">
        <v>119409878</v>
      </c>
      <c r="N26" s="222">
        <f t="shared" si="0"/>
        <v>117804776</v>
      </c>
      <c r="O26" s="222">
        <f t="shared" si="1"/>
        <v>120079199</v>
      </c>
      <c r="P26" s="222">
        <f t="shared" si="2"/>
        <v>126964254</v>
      </c>
      <c r="Q26" s="222">
        <f t="shared" si="3"/>
        <v>120031910</v>
      </c>
      <c r="R26" s="222">
        <f t="shared" si="4"/>
        <v>119021580</v>
      </c>
      <c r="S26" s="222">
        <f t="shared" si="5"/>
        <v>113028142</v>
      </c>
      <c r="T26" s="222">
        <f t="shared" si="6"/>
        <v>119057307</v>
      </c>
      <c r="U26" s="222">
        <f t="shared" si="7"/>
        <v>117860110</v>
      </c>
      <c r="V26" s="222">
        <f t="shared" si="8"/>
        <v>117920088</v>
      </c>
      <c r="W26" s="222">
        <f t="shared" si="9"/>
        <v>128611230</v>
      </c>
      <c r="X26" s="222">
        <f t="shared" si="10"/>
        <v>143227348</v>
      </c>
      <c r="Y26" s="222">
        <f t="shared" si="11"/>
        <v>142587307</v>
      </c>
      <c r="Z26" s="221"/>
      <c r="AA26" s="221"/>
      <c r="AB26" s="221"/>
      <c r="AC26" s="221"/>
      <c r="AD26" s="221"/>
      <c r="AE26" s="221"/>
      <c r="AF26" s="221"/>
      <c r="AG26" s="221"/>
      <c r="AH26" s="221"/>
      <c r="AI26" s="221"/>
      <c r="AJ26" s="221"/>
      <c r="AK26" s="221"/>
      <c r="AL26" s="221"/>
      <c r="AM26" s="221"/>
      <c r="AN26" s="221"/>
      <c r="AO26" s="221"/>
      <c r="AP26" s="221"/>
      <c r="AQ26" s="221"/>
      <c r="AR26" s="221"/>
      <c r="AS26" s="221"/>
      <c r="AT26" s="221"/>
      <c r="AU26" s="221"/>
      <c r="AV26" s="221"/>
      <c r="AW26" s="221"/>
      <c r="AX26" s="221"/>
      <c r="AY26" s="221"/>
      <c r="AZ26" s="221"/>
      <c r="BA26" s="221"/>
      <c r="BB26" s="221"/>
      <c r="BC26" s="221"/>
      <c r="BD26" s="221"/>
      <c r="BE26" s="221"/>
      <c r="BF26" s="221"/>
      <c r="BG26" s="221"/>
      <c r="BH26" s="221"/>
      <c r="BI26" s="221"/>
      <c r="BJ26" s="221"/>
      <c r="BK26" s="221"/>
      <c r="BL26" s="221"/>
      <c r="BM26" s="221"/>
      <c r="BN26" s="221"/>
      <c r="BO26" s="221"/>
      <c r="BP26" s="221"/>
      <c r="BQ26" s="221"/>
      <c r="BR26" s="221"/>
      <c r="BS26" s="221"/>
      <c r="BT26" s="221"/>
      <c r="BU26" s="221"/>
      <c r="BV26" s="221"/>
      <c r="BW26" s="221"/>
      <c r="BX26" s="221"/>
      <c r="BY26" s="221"/>
      <c r="BZ26" s="221"/>
      <c r="CA26" s="221"/>
      <c r="CB26" s="221"/>
      <c r="CC26" s="221"/>
      <c r="CD26" s="221"/>
      <c r="CE26" s="221"/>
      <c r="CF26" s="221"/>
      <c r="CG26" s="221"/>
      <c r="CH26" s="221"/>
      <c r="CI26" s="221"/>
      <c r="CJ26" s="221"/>
      <c r="CK26" s="221"/>
      <c r="CL26" s="221"/>
      <c r="CM26" s="221"/>
      <c r="CN26" s="221"/>
      <c r="CO26" s="221"/>
      <c r="CP26" s="221"/>
      <c r="CQ26" s="221"/>
      <c r="CR26" s="221"/>
      <c r="CS26" s="221"/>
      <c r="CT26" s="221"/>
      <c r="CU26" s="221"/>
      <c r="CV26" s="221"/>
      <c r="CW26" s="221"/>
      <c r="CX26" s="221"/>
      <c r="CY26" s="221"/>
      <c r="CZ26" s="221"/>
      <c r="DA26" s="221"/>
      <c r="DB26" s="221"/>
      <c r="DC26" s="221"/>
      <c r="DD26" s="221"/>
      <c r="DE26" s="221"/>
      <c r="DF26" s="221"/>
      <c r="DG26" s="221"/>
      <c r="DH26" s="221"/>
      <c r="DI26" s="221"/>
      <c r="DJ26" s="221"/>
      <c r="DK26" s="221"/>
      <c r="DL26" s="221"/>
      <c r="DM26" s="221"/>
      <c r="DN26" s="221"/>
      <c r="DO26" s="221"/>
      <c r="DP26" s="221"/>
      <c r="DQ26" s="221"/>
      <c r="DR26" s="221"/>
      <c r="DS26" s="221"/>
      <c r="DT26" s="221"/>
      <c r="DU26" s="221"/>
      <c r="DV26" s="221"/>
      <c r="DW26" s="221"/>
      <c r="DX26" s="221"/>
      <c r="DY26" s="221"/>
      <c r="DZ26" s="221"/>
      <c r="EA26" s="221"/>
      <c r="EB26" s="221"/>
      <c r="EC26" s="221"/>
      <c r="ED26" s="221"/>
      <c r="EE26" s="221"/>
      <c r="EF26" s="221"/>
      <c r="EG26" s="221"/>
      <c r="EH26" s="221"/>
      <c r="EI26" s="221"/>
      <c r="EJ26" s="221"/>
      <c r="EK26" s="221"/>
      <c r="EL26" s="221"/>
      <c r="EM26" s="221"/>
      <c r="EN26" s="221"/>
      <c r="EO26" s="221"/>
      <c r="EP26" s="221"/>
      <c r="EQ26" s="221"/>
      <c r="ER26" s="221"/>
      <c r="ES26" s="221"/>
      <c r="ET26" s="221"/>
      <c r="EU26" s="221"/>
      <c r="EV26" s="221"/>
      <c r="EW26" s="221"/>
      <c r="EX26" s="221"/>
      <c r="EY26" s="221"/>
      <c r="EZ26" s="221"/>
      <c r="FA26" s="221"/>
    </row>
    <row r="27" spans="1:157" ht="20.100000000000001" customHeight="1">
      <c r="A27" s="446"/>
      <c r="B27" s="133" t="s">
        <v>283</v>
      </c>
      <c r="C27" s="134">
        <v>322720</v>
      </c>
      <c r="D27" s="134">
        <v>351363</v>
      </c>
      <c r="E27" s="134">
        <v>387319</v>
      </c>
      <c r="F27" s="134">
        <v>363547</v>
      </c>
      <c r="G27" s="134">
        <v>393275</v>
      </c>
      <c r="H27" s="134">
        <v>434228</v>
      </c>
      <c r="I27" s="134">
        <v>431032</v>
      </c>
      <c r="J27" s="134">
        <v>432702</v>
      </c>
      <c r="K27" s="134">
        <v>422565</v>
      </c>
      <c r="L27" s="134">
        <v>408984</v>
      </c>
      <c r="M27" s="134">
        <v>372385</v>
      </c>
      <c r="N27" s="222">
        <f t="shared" si="0"/>
        <v>355249</v>
      </c>
      <c r="O27" s="222">
        <f t="shared" si="1"/>
        <v>316398</v>
      </c>
      <c r="P27" s="222">
        <f t="shared" si="2"/>
        <v>254239</v>
      </c>
      <c r="Q27" s="222">
        <f t="shared" si="3"/>
        <v>268677</v>
      </c>
      <c r="R27" s="222">
        <f t="shared" si="4"/>
        <v>261859</v>
      </c>
      <c r="S27" s="222">
        <f t="shared" si="5"/>
        <v>273718</v>
      </c>
      <c r="T27" s="222">
        <f t="shared" si="6"/>
        <v>265277</v>
      </c>
      <c r="U27" s="222">
        <f t="shared" si="7"/>
        <v>252687</v>
      </c>
      <c r="V27" s="222">
        <f t="shared" si="8"/>
        <v>283119</v>
      </c>
      <c r="W27" s="222">
        <f t="shared" si="9"/>
        <v>287782</v>
      </c>
      <c r="X27" s="222">
        <f t="shared" si="10"/>
        <v>292884</v>
      </c>
      <c r="Y27" s="222">
        <f t="shared" si="11"/>
        <v>290127</v>
      </c>
      <c r="Z27" s="221"/>
      <c r="AA27" s="221"/>
      <c r="AB27" s="221"/>
      <c r="AC27" s="221"/>
      <c r="AD27" s="221"/>
      <c r="AE27" s="221"/>
      <c r="AF27" s="221"/>
      <c r="AG27" s="221"/>
      <c r="AH27" s="221"/>
      <c r="AI27" s="221"/>
      <c r="AJ27" s="221"/>
      <c r="AK27" s="221"/>
      <c r="AL27" s="221"/>
      <c r="AM27" s="221"/>
      <c r="AN27" s="221"/>
      <c r="AO27" s="221"/>
      <c r="AP27" s="221"/>
      <c r="AQ27" s="221"/>
      <c r="AR27" s="221"/>
      <c r="AS27" s="221"/>
      <c r="AT27" s="221"/>
      <c r="AU27" s="221"/>
      <c r="AV27" s="221"/>
      <c r="AW27" s="221"/>
      <c r="AX27" s="221"/>
      <c r="AY27" s="221"/>
      <c r="AZ27" s="221"/>
      <c r="BA27" s="221"/>
      <c r="BB27" s="221"/>
      <c r="BC27" s="221"/>
      <c r="BD27" s="221"/>
      <c r="BE27" s="221"/>
      <c r="BF27" s="221"/>
      <c r="BG27" s="221"/>
      <c r="BH27" s="221"/>
      <c r="BI27" s="221"/>
      <c r="BJ27" s="221"/>
      <c r="BK27" s="221"/>
      <c r="BL27" s="221"/>
      <c r="BM27" s="221"/>
      <c r="BN27" s="221"/>
      <c r="BO27" s="221"/>
      <c r="BP27" s="221"/>
      <c r="BQ27" s="221"/>
      <c r="BR27" s="221"/>
      <c r="BS27" s="221"/>
      <c r="BT27" s="221"/>
      <c r="BU27" s="221"/>
      <c r="BV27" s="221"/>
      <c r="BW27" s="221"/>
      <c r="BX27" s="221"/>
      <c r="BY27" s="221"/>
      <c r="BZ27" s="221"/>
      <c r="CA27" s="221"/>
      <c r="CB27" s="221"/>
      <c r="CC27" s="221"/>
      <c r="CD27" s="221"/>
      <c r="CE27" s="221"/>
      <c r="CF27" s="221"/>
      <c r="CG27" s="221"/>
      <c r="CH27" s="221"/>
      <c r="CI27" s="221"/>
      <c r="CJ27" s="221"/>
      <c r="CK27" s="221"/>
      <c r="CL27" s="221"/>
      <c r="CM27" s="221"/>
      <c r="CN27" s="221"/>
      <c r="CO27" s="221"/>
      <c r="CP27" s="221"/>
      <c r="CQ27" s="221"/>
      <c r="CR27" s="221"/>
      <c r="CS27" s="221"/>
      <c r="CT27" s="221"/>
      <c r="CU27" s="221"/>
      <c r="CV27" s="221"/>
      <c r="CW27" s="221"/>
      <c r="CX27" s="221"/>
      <c r="CY27" s="221"/>
      <c r="CZ27" s="221"/>
      <c r="DA27" s="221"/>
      <c r="DB27" s="221"/>
      <c r="DC27" s="221"/>
      <c r="DD27" s="221"/>
      <c r="DE27" s="221"/>
      <c r="DF27" s="221"/>
      <c r="DG27" s="221"/>
      <c r="DH27" s="221"/>
      <c r="DI27" s="221"/>
      <c r="DJ27" s="221"/>
      <c r="DK27" s="221"/>
      <c r="DL27" s="221"/>
      <c r="DM27" s="221"/>
      <c r="DN27" s="221"/>
      <c r="DO27" s="221"/>
      <c r="DP27" s="221"/>
      <c r="DQ27" s="221"/>
      <c r="DR27" s="221"/>
      <c r="DS27" s="221"/>
      <c r="DT27" s="221"/>
      <c r="DU27" s="221"/>
      <c r="DV27" s="221"/>
      <c r="DW27" s="221"/>
      <c r="DX27" s="221"/>
      <c r="DY27" s="221"/>
      <c r="DZ27" s="221"/>
      <c r="EA27" s="221"/>
      <c r="EB27" s="221"/>
      <c r="EC27" s="221"/>
      <c r="ED27" s="221"/>
      <c r="EE27" s="221"/>
      <c r="EF27" s="221"/>
      <c r="EG27" s="221"/>
      <c r="EH27" s="221"/>
      <c r="EI27" s="221"/>
      <c r="EJ27" s="221"/>
      <c r="EK27" s="221"/>
      <c r="EL27" s="221"/>
      <c r="EM27" s="221"/>
      <c r="EN27" s="221"/>
      <c r="EO27" s="221"/>
      <c r="EP27" s="221"/>
      <c r="EQ27" s="221"/>
      <c r="ER27" s="221"/>
      <c r="ES27" s="221"/>
      <c r="ET27" s="221"/>
      <c r="EU27" s="221"/>
      <c r="EV27" s="221"/>
      <c r="EW27" s="221"/>
      <c r="EX27" s="221"/>
      <c r="EY27" s="221"/>
      <c r="EZ27" s="221"/>
      <c r="FA27" s="221"/>
    </row>
    <row r="28" spans="1:157" ht="20.100000000000001" customHeight="1">
      <c r="A28" s="444" t="s">
        <v>289</v>
      </c>
      <c r="B28" s="133" t="s">
        <v>10</v>
      </c>
      <c r="C28" s="134">
        <v>405714274</v>
      </c>
      <c r="D28" s="134">
        <v>442551230</v>
      </c>
      <c r="E28" s="134">
        <v>486661311</v>
      </c>
      <c r="F28" s="134">
        <v>476222728</v>
      </c>
      <c r="G28" s="134">
        <v>533902560</v>
      </c>
      <c r="H28" s="134">
        <v>571548755</v>
      </c>
      <c r="I28" s="134">
        <v>612773903</v>
      </c>
      <c r="J28" s="134">
        <v>637622077</v>
      </c>
      <c r="K28" s="134">
        <v>669816827</v>
      </c>
      <c r="L28" s="134">
        <v>735946247</v>
      </c>
      <c r="M28" s="134">
        <v>757553023</v>
      </c>
      <c r="N28" s="222">
        <f t="shared" si="0"/>
        <v>812683138</v>
      </c>
      <c r="O28" s="222">
        <f t="shared" si="1"/>
        <v>865661443</v>
      </c>
      <c r="P28" s="222">
        <f t="shared" si="2"/>
        <v>895933749</v>
      </c>
      <c r="Q28" s="222">
        <f t="shared" si="3"/>
        <v>851171113</v>
      </c>
      <c r="R28" s="222">
        <f t="shared" si="4"/>
        <v>969520226</v>
      </c>
      <c r="S28" s="222">
        <f t="shared" si="5"/>
        <v>1051270490</v>
      </c>
      <c r="T28" s="222">
        <f t="shared" si="6"/>
        <v>1111747050</v>
      </c>
      <c r="U28" s="222">
        <f t="shared" si="7"/>
        <v>1126451308</v>
      </c>
      <c r="V28" s="222">
        <f t="shared" si="8"/>
        <v>1188051936</v>
      </c>
      <c r="W28" s="222">
        <f t="shared" si="9"/>
        <v>1220300498</v>
      </c>
      <c r="X28" s="222">
        <f t="shared" si="10"/>
        <v>1246377969</v>
      </c>
      <c r="Y28" s="222">
        <f t="shared" si="11"/>
        <v>1316520988</v>
      </c>
      <c r="Z28" s="221"/>
      <c r="AA28" s="221"/>
      <c r="AB28" s="221"/>
      <c r="AC28" s="221"/>
      <c r="AD28" s="221"/>
      <c r="AE28" s="221"/>
      <c r="AF28" s="221"/>
      <c r="AG28" s="221"/>
      <c r="AH28" s="221"/>
      <c r="AI28" s="221"/>
      <c r="AJ28" s="221"/>
      <c r="AK28" s="221"/>
      <c r="AL28" s="221"/>
      <c r="AM28" s="221"/>
      <c r="AN28" s="221"/>
      <c r="AO28" s="221"/>
      <c r="AP28" s="221"/>
      <c r="AQ28" s="221"/>
      <c r="AR28" s="221"/>
      <c r="AS28" s="221"/>
      <c r="AT28" s="221"/>
      <c r="AU28" s="221"/>
      <c r="AV28" s="221"/>
      <c r="AW28" s="221"/>
      <c r="AX28" s="221"/>
      <c r="AY28" s="221"/>
      <c r="AZ28" s="221"/>
      <c r="BA28" s="221"/>
      <c r="BB28" s="221"/>
      <c r="BC28" s="221"/>
      <c r="BD28" s="221"/>
      <c r="BE28" s="221"/>
      <c r="BF28" s="221"/>
      <c r="BG28" s="221"/>
      <c r="BH28" s="221"/>
      <c r="BI28" s="221"/>
      <c r="BJ28" s="221"/>
      <c r="BK28" s="221"/>
      <c r="BL28" s="221"/>
      <c r="BM28" s="221"/>
      <c r="BN28" s="221"/>
      <c r="BO28" s="221"/>
      <c r="BP28" s="221"/>
      <c r="BQ28" s="221"/>
      <c r="BR28" s="221"/>
      <c r="BS28" s="221"/>
      <c r="BT28" s="221"/>
      <c r="BU28" s="221"/>
      <c r="BV28" s="221"/>
      <c r="BW28" s="221"/>
      <c r="BX28" s="221"/>
      <c r="BY28" s="221"/>
      <c r="BZ28" s="221"/>
      <c r="CA28" s="221"/>
      <c r="CB28" s="221"/>
      <c r="CC28" s="221"/>
      <c r="CD28" s="221"/>
      <c r="CE28" s="221"/>
      <c r="CF28" s="221"/>
      <c r="CG28" s="221"/>
      <c r="CH28" s="221"/>
      <c r="CI28" s="221"/>
      <c r="CJ28" s="221"/>
      <c r="CK28" s="221"/>
      <c r="CL28" s="221"/>
      <c r="CM28" s="221"/>
      <c r="CN28" s="221"/>
      <c r="CO28" s="221"/>
      <c r="CP28" s="221"/>
      <c r="CQ28" s="221"/>
      <c r="CR28" s="221"/>
      <c r="CS28" s="221"/>
      <c r="CT28" s="221"/>
      <c r="CU28" s="221"/>
      <c r="CV28" s="221"/>
      <c r="CW28" s="221"/>
      <c r="CX28" s="221"/>
      <c r="CY28" s="221"/>
      <c r="CZ28" s="221"/>
      <c r="DA28" s="221"/>
      <c r="DB28" s="221"/>
      <c r="DC28" s="221"/>
      <c r="DD28" s="221"/>
      <c r="DE28" s="221"/>
      <c r="DF28" s="221"/>
      <c r="DG28" s="221"/>
      <c r="DH28" s="221"/>
      <c r="DI28" s="221"/>
      <c r="DJ28" s="221"/>
      <c r="DK28" s="221"/>
      <c r="DL28" s="221"/>
      <c r="DM28" s="221"/>
      <c r="DN28" s="221"/>
      <c r="DO28" s="221"/>
      <c r="DP28" s="221"/>
      <c r="DQ28" s="221"/>
      <c r="DR28" s="221"/>
      <c r="DS28" s="221"/>
      <c r="DT28" s="221"/>
      <c r="DU28" s="221"/>
      <c r="DV28" s="221"/>
      <c r="DW28" s="221"/>
      <c r="DX28" s="221"/>
      <c r="DY28" s="221"/>
      <c r="DZ28" s="221"/>
      <c r="EA28" s="221"/>
      <c r="EB28" s="221"/>
      <c r="EC28" s="221"/>
      <c r="ED28" s="221"/>
      <c r="EE28" s="221"/>
      <c r="EF28" s="221"/>
      <c r="EG28" s="221"/>
      <c r="EH28" s="221"/>
      <c r="EI28" s="221"/>
      <c r="EJ28" s="221"/>
      <c r="EK28" s="221"/>
      <c r="EL28" s="221"/>
      <c r="EM28" s="221"/>
      <c r="EN28" s="221"/>
      <c r="EO28" s="221"/>
      <c r="EP28" s="221"/>
      <c r="EQ28" s="221"/>
      <c r="ER28" s="221"/>
      <c r="ES28" s="221"/>
      <c r="ET28" s="221"/>
      <c r="EU28" s="221"/>
      <c r="EV28" s="221"/>
      <c r="EW28" s="221"/>
      <c r="EX28" s="221"/>
      <c r="EY28" s="221"/>
      <c r="EZ28" s="221"/>
      <c r="FA28" s="221"/>
    </row>
    <row r="29" spans="1:157" ht="20.100000000000001" customHeight="1">
      <c r="A29" s="445"/>
      <c r="B29" s="133" t="s">
        <v>285</v>
      </c>
      <c r="C29" s="134">
        <v>404423525</v>
      </c>
      <c r="D29" s="134">
        <v>441120256</v>
      </c>
      <c r="E29" s="134">
        <v>485030237</v>
      </c>
      <c r="F29" s="134">
        <v>474751966</v>
      </c>
      <c r="G29" s="134">
        <v>532183132</v>
      </c>
      <c r="H29" s="134">
        <v>569599403</v>
      </c>
      <c r="I29" s="134">
        <v>610910071</v>
      </c>
      <c r="J29" s="134">
        <v>635545272</v>
      </c>
      <c r="K29" s="134">
        <v>667608033</v>
      </c>
      <c r="L29" s="134">
        <v>733377114</v>
      </c>
      <c r="M29" s="134">
        <v>754936409</v>
      </c>
      <c r="N29" s="222">
        <f t="shared" si="0"/>
        <v>809829604</v>
      </c>
      <c r="O29" s="222">
        <f t="shared" si="1"/>
        <v>862523478</v>
      </c>
      <c r="P29" s="222">
        <f t="shared" si="2"/>
        <v>892936382</v>
      </c>
      <c r="Q29" s="222">
        <f t="shared" si="3"/>
        <v>848298644</v>
      </c>
      <c r="R29" s="222">
        <f t="shared" si="4"/>
        <v>966193342</v>
      </c>
      <c r="S29" s="222">
        <f t="shared" si="5"/>
        <v>1047986198</v>
      </c>
      <c r="T29" s="222">
        <f t="shared" si="6"/>
        <v>1108538270</v>
      </c>
      <c r="U29" s="222">
        <f t="shared" si="7"/>
        <v>1123205055</v>
      </c>
      <c r="V29" s="222">
        <f t="shared" si="8"/>
        <v>1184641194</v>
      </c>
      <c r="W29" s="222">
        <f t="shared" si="9"/>
        <v>1216781726</v>
      </c>
      <c r="X29" s="222">
        <f t="shared" si="10"/>
        <v>1242597061</v>
      </c>
      <c r="Y29" s="222">
        <f t="shared" si="11"/>
        <v>1312489474</v>
      </c>
      <c r="Z29" s="221"/>
      <c r="AA29" s="221"/>
      <c r="AB29" s="221"/>
      <c r="AC29" s="221"/>
      <c r="AD29" s="221"/>
      <c r="AE29" s="221"/>
      <c r="AF29" s="221"/>
      <c r="AG29" s="221"/>
      <c r="AH29" s="221"/>
      <c r="AI29" s="221"/>
      <c r="AJ29" s="221"/>
      <c r="AK29" s="221"/>
      <c r="AL29" s="221"/>
      <c r="AM29" s="221"/>
      <c r="AN29" s="221"/>
      <c r="AO29" s="221"/>
      <c r="AP29" s="221"/>
      <c r="AQ29" s="221"/>
      <c r="AR29" s="221"/>
      <c r="AS29" s="221"/>
      <c r="AT29" s="221"/>
      <c r="AU29" s="221"/>
      <c r="AV29" s="221"/>
      <c r="AW29" s="221"/>
      <c r="AX29" s="221"/>
      <c r="AY29" s="221"/>
      <c r="AZ29" s="221"/>
      <c r="BA29" s="221"/>
      <c r="BB29" s="221"/>
      <c r="BC29" s="221"/>
      <c r="BD29" s="221"/>
      <c r="BE29" s="221"/>
      <c r="BF29" s="221"/>
      <c r="BG29" s="221"/>
      <c r="BH29" s="221"/>
      <c r="BI29" s="221"/>
      <c r="BJ29" s="221"/>
      <c r="BK29" s="221"/>
      <c r="BL29" s="221"/>
      <c r="BM29" s="221"/>
      <c r="BN29" s="221"/>
      <c r="BO29" s="221"/>
      <c r="BP29" s="221"/>
      <c r="BQ29" s="221"/>
      <c r="BR29" s="221"/>
      <c r="BS29" s="221"/>
      <c r="BT29" s="221"/>
      <c r="BU29" s="221"/>
      <c r="BV29" s="221"/>
      <c r="BW29" s="221"/>
      <c r="BX29" s="221"/>
      <c r="BY29" s="221"/>
      <c r="BZ29" s="221"/>
      <c r="CA29" s="221"/>
      <c r="CB29" s="221"/>
      <c r="CC29" s="221"/>
      <c r="CD29" s="221"/>
      <c r="CE29" s="221"/>
      <c r="CF29" s="221"/>
      <c r="CG29" s="221"/>
      <c r="CH29" s="221"/>
      <c r="CI29" s="221"/>
      <c r="CJ29" s="221"/>
      <c r="CK29" s="221"/>
      <c r="CL29" s="221"/>
      <c r="CM29" s="221"/>
      <c r="CN29" s="221"/>
      <c r="CO29" s="221"/>
      <c r="CP29" s="221"/>
      <c r="CQ29" s="221"/>
      <c r="CR29" s="221"/>
      <c r="CS29" s="221"/>
      <c r="CT29" s="221"/>
      <c r="CU29" s="221"/>
      <c r="CV29" s="221"/>
      <c r="CW29" s="221"/>
      <c r="CX29" s="221"/>
      <c r="CY29" s="221"/>
      <c r="CZ29" s="221"/>
      <c r="DA29" s="221"/>
      <c r="DB29" s="221"/>
      <c r="DC29" s="221"/>
      <c r="DD29" s="221"/>
      <c r="DE29" s="221"/>
      <c r="DF29" s="221"/>
      <c r="DG29" s="221"/>
      <c r="DH29" s="221"/>
      <c r="DI29" s="221"/>
      <c r="DJ29" s="221"/>
      <c r="DK29" s="221"/>
      <c r="DL29" s="221"/>
      <c r="DM29" s="221"/>
      <c r="DN29" s="221"/>
      <c r="DO29" s="221"/>
      <c r="DP29" s="221"/>
      <c r="DQ29" s="221"/>
      <c r="DR29" s="221"/>
      <c r="DS29" s="221"/>
      <c r="DT29" s="221"/>
      <c r="DU29" s="221"/>
      <c r="DV29" s="221"/>
      <c r="DW29" s="221"/>
      <c r="DX29" s="221"/>
      <c r="DY29" s="221"/>
      <c r="DZ29" s="221"/>
      <c r="EA29" s="221"/>
      <c r="EB29" s="221"/>
      <c r="EC29" s="221"/>
      <c r="ED29" s="221"/>
      <c r="EE29" s="221"/>
      <c r="EF29" s="221"/>
      <c r="EG29" s="221"/>
      <c r="EH29" s="221"/>
      <c r="EI29" s="221"/>
      <c r="EJ29" s="221"/>
      <c r="EK29" s="221"/>
      <c r="EL29" s="221"/>
      <c r="EM29" s="221"/>
      <c r="EN29" s="221"/>
      <c r="EO29" s="221"/>
      <c r="EP29" s="221"/>
      <c r="EQ29" s="221"/>
      <c r="ER29" s="221"/>
      <c r="ES29" s="221"/>
      <c r="ET29" s="221"/>
      <c r="EU29" s="221"/>
      <c r="EV29" s="221"/>
      <c r="EW29" s="221"/>
      <c r="EX29" s="221"/>
      <c r="EY29" s="221"/>
      <c r="EZ29" s="221"/>
      <c r="FA29" s="221"/>
    </row>
    <row r="30" spans="1:157" ht="20.100000000000001" customHeight="1">
      <c r="A30" s="446"/>
      <c r="B30" s="136" t="s">
        <v>283</v>
      </c>
      <c r="C30" s="134">
        <v>1290749</v>
      </c>
      <c r="D30" s="134">
        <v>1430974</v>
      </c>
      <c r="E30" s="134">
        <v>1631074</v>
      </c>
      <c r="F30" s="134">
        <v>1470762</v>
      </c>
      <c r="G30" s="134">
        <v>1719428</v>
      </c>
      <c r="H30" s="134">
        <v>1949352</v>
      </c>
      <c r="I30" s="134">
        <v>1863832</v>
      </c>
      <c r="J30" s="134">
        <v>2076805</v>
      </c>
      <c r="K30" s="134">
        <v>2208794</v>
      </c>
      <c r="L30" s="134">
        <v>2569133</v>
      </c>
      <c r="M30" s="134">
        <v>2616614</v>
      </c>
      <c r="N30" s="222">
        <f t="shared" si="0"/>
        <v>2853534</v>
      </c>
      <c r="O30" s="222">
        <f t="shared" si="1"/>
        <v>3137965</v>
      </c>
      <c r="P30" s="222">
        <f t="shared" si="2"/>
        <v>2997367</v>
      </c>
      <c r="Q30" s="222">
        <f t="shared" si="3"/>
        <v>2872469</v>
      </c>
      <c r="R30" s="222">
        <f t="shared" si="4"/>
        <v>3326884</v>
      </c>
      <c r="S30" s="222">
        <f t="shared" si="5"/>
        <v>3284292</v>
      </c>
      <c r="T30" s="222">
        <f t="shared" si="6"/>
        <v>3208780</v>
      </c>
      <c r="U30" s="222">
        <f t="shared" si="7"/>
        <v>3246253</v>
      </c>
      <c r="V30" s="222">
        <f t="shared" si="8"/>
        <v>3410742</v>
      </c>
      <c r="W30" s="222">
        <f t="shared" si="9"/>
        <v>3518772</v>
      </c>
      <c r="X30" s="222">
        <f t="shared" si="10"/>
        <v>3780908</v>
      </c>
      <c r="Y30" s="222">
        <f t="shared" si="11"/>
        <v>4031514</v>
      </c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1"/>
      <c r="BW30" s="221"/>
      <c r="BX30" s="221"/>
      <c r="BY30" s="221"/>
      <c r="BZ30" s="221"/>
      <c r="CA30" s="221"/>
      <c r="CB30" s="221"/>
      <c r="CC30" s="221"/>
      <c r="CD30" s="221"/>
      <c r="CE30" s="221"/>
      <c r="CF30" s="221"/>
      <c r="CG30" s="221"/>
      <c r="CH30" s="221"/>
      <c r="CI30" s="221"/>
      <c r="CJ30" s="221"/>
      <c r="CK30" s="221"/>
      <c r="CL30" s="221"/>
      <c r="CM30" s="221"/>
      <c r="CN30" s="221"/>
      <c r="CO30" s="221"/>
      <c r="CP30" s="221"/>
      <c r="CQ30" s="221"/>
      <c r="CR30" s="221"/>
      <c r="CS30" s="221"/>
      <c r="CT30" s="221"/>
      <c r="CU30" s="221"/>
      <c r="CV30" s="221"/>
      <c r="CW30" s="221"/>
      <c r="CX30" s="221"/>
      <c r="CY30" s="221"/>
      <c r="CZ30" s="221"/>
      <c r="DA30" s="221"/>
      <c r="DB30" s="221"/>
      <c r="DC30" s="221"/>
      <c r="DD30" s="221"/>
      <c r="DE30" s="221"/>
      <c r="DF30" s="221"/>
      <c r="DG30" s="221"/>
      <c r="DH30" s="221"/>
      <c r="DI30" s="221"/>
      <c r="DJ30" s="221"/>
      <c r="DK30" s="221"/>
      <c r="DL30" s="221"/>
      <c r="DM30" s="221"/>
      <c r="DN30" s="221"/>
      <c r="DO30" s="221"/>
      <c r="DP30" s="221"/>
      <c r="DQ30" s="221"/>
      <c r="DR30" s="221"/>
      <c r="DS30" s="221"/>
      <c r="DT30" s="221"/>
      <c r="DU30" s="221"/>
      <c r="DV30" s="221"/>
      <c r="DW30" s="221"/>
      <c r="DX30" s="221"/>
      <c r="DY30" s="221"/>
      <c r="DZ30" s="221"/>
      <c r="EA30" s="221"/>
      <c r="EB30" s="221"/>
      <c r="EC30" s="221"/>
      <c r="ED30" s="221"/>
      <c r="EE30" s="221"/>
      <c r="EF30" s="221"/>
      <c r="EG30" s="221"/>
      <c r="EH30" s="221"/>
      <c r="EI30" s="221"/>
      <c r="EJ30" s="221"/>
      <c r="EK30" s="221"/>
      <c r="EL30" s="221"/>
      <c r="EM30" s="221"/>
      <c r="EN30" s="221"/>
      <c r="EO30" s="221"/>
      <c r="EP30" s="221"/>
      <c r="EQ30" s="221"/>
      <c r="ER30" s="221"/>
      <c r="ES30" s="221"/>
      <c r="ET30" s="221"/>
      <c r="EU30" s="221"/>
      <c r="EV30" s="221"/>
      <c r="EW30" s="221"/>
      <c r="EX30" s="221"/>
      <c r="EY30" s="221"/>
      <c r="EZ30" s="221"/>
      <c r="FA30" s="221"/>
    </row>
    <row r="31" spans="1:157" ht="20.100000000000001" customHeight="1">
      <c r="A31" s="443" t="s">
        <v>454</v>
      </c>
      <c r="B31" s="136" t="s">
        <v>608</v>
      </c>
      <c r="C31" s="221">
        <f>SUM(C26,C29)</f>
        <v>533535414</v>
      </c>
      <c r="D31" s="221">
        <f t="shared" ref="D31:Y31" si="12">SUM(D26,D29)</f>
        <v>582067798</v>
      </c>
      <c r="E31" s="221">
        <f t="shared" si="12"/>
        <v>632076091</v>
      </c>
      <c r="F31" s="221">
        <f t="shared" si="12"/>
        <v>589930794</v>
      </c>
      <c r="G31" s="221">
        <f t="shared" si="12"/>
        <v>655876090</v>
      </c>
      <c r="H31" s="221">
        <f t="shared" si="12"/>
        <v>704066789</v>
      </c>
      <c r="I31" s="221">
        <f t="shared" si="12"/>
        <v>751454398</v>
      </c>
      <c r="J31" s="221">
        <f t="shared" si="12"/>
        <v>777251257</v>
      </c>
      <c r="K31" s="221">
        <f t="shared" si="12"/>
        <v>812934842</v>
      </c>
      <c r="L31" s="221">
        <f t="shared" si="12"/>
        <v>849012920</v>
      </c>
      <c r="M31" s="221">
        <f t="shared" si="12"/>
        <v>874346287</v>
      </c>
      <c r="N31" s="221">
        <f t="shared" si="12"/>
        <v>927634380</v>
      </c>
      <c r="O31" s="221">
        <f t="shared" si="12"/>
        <v>982602677</v>
      </c>
      <c r="P31" s="221">
        <f t="shared" si="12"/>
        <v>1019900636</v>
      </c>
      <c r="Q31" s="221">
        <f t="shared" si="12"/>
        <v>968330554</v>
      </c>
      <c r="R31" s="221">
        <f t="shared" si="12"/>
        <v>1085214922</v>
      </c>
      <c r="S31" s="221">
        <f t="shared" si="12"/>
        <v>1161014340</v>
      </c>
      <c r="T31" s="221">
        <f t="shared" si="12"/>
        <v>1227595577</v>
      </c>
      <c r="U31" s="221">
        <f t="shared" si="12"/>
        <v>1241065165</v>
      </c>
      <c r="V31" s="221">
        <f t="shared" si="12"/>
        <v>1302561282</v>
      </c>
      <c r="W31" s="221">
        <f t="shared" si="12"/>
        <v>1345392956</v>
      </c>
      <c r="X31" s="221">
        <f t="shared" si="12"/>
        <v>1385824409</v>
      </c>
      <c r="Y31" s="221">
        <f t="shared" si="12"/>
        <v>1455076781</v>
      </c>
      <c r="Z31" s="221"/>
      <c r="AA31" s="221"/>
      <c r="AB31" s="221"/>
      <c r="AC31" s="221"/>
      <c r="AD31" s="221"/>
      <c r="AE31" s="221"/>
      <c r="AF31" s="221"/>
      <c r="AG31" s="221"/>
      <c r="AH31" s="221"/>
      <c r="AI31" s="221"/>
      <c r="AJ31" s="221"/>
      <c r="AK31" s="221"/>
      <c r="AL31" s="221"/>
      <c r="AM31" s="221"/>
      <c r="AN31" s="221"/>
      <c r="AO31" s="221"/>
      <c r="AP31" s="221"/>
      <c r="AQ31" s="221"/>
      <c r="AR31" s="221"/>
      <c r="AS31" s="221"/>
      <c r="AT31" s="221"/>
      <c r="AU31" s="221"/>
      <c r="AV31" s="221"/>
      <c r="AW31" s="221"/>
      <c r="AX31" s="221"/>
      <c r="AY31" s="221"/>
      <c r="AZ31" s="221"/>
      <c r="BA31" s="221"/>
      <c r="BB31" s="221"/>
      <c r="BC31" s="221"/>
      <c r="BD31" s="221"/>
      <c r="BE31" s="221"/>
      <c r="BF31" s="221"/>
      <c r="BG31" s="221"/>
      <c r="BH31" s="221"/>
      <c r="BI31" s="221"/>
      <c r="BJ31" s="221"/>
      <c r="BK31" s="221"/>
      <c r="BL31" s="221"/>
      <c r="BM31" s="221"/>
      <c r="BN31" s="221"/>
      <c r="BO31" s="221"/>
      <c r="BP31" s="221"/>
      <c r="BQ31" s="221"/>
      <c r="BR31" s="221"/>
      <c r="BS31" s="221"/>
      <c r="BT31" s="221"/>
      <c r="BU31" s="221"/>
      <c r="BV31" s="221"/>
      <c r="BW31" s="221"/>
      <c r="BX31" s="221"/>
      <c r="BY31" s="221"/>
      <c r="BZ31" s="221"/>
      <c r="CA31" s="221"/>
      <c r="CB31" s="221"/>
      <c r="CC31" s="221"/>
      <c r="CD31" s="221"/>
      <c r="CE31" s="221"/>
      <c r="CF31" s="221"/>
      <c r="CG31" s="221"/>
      <c r="CH31" s="221"/>
      <c r="CI31" s="221"/>
      <c r="CJ31" s="221"/>
      <c r="CK31" s="221"/>
      <c r="CL31" s="221"/>
      <c r="CM31" s="221"/>
      <c r="CN31" s="221"/>
      <c r="CO31" s="221"/>
      <c r="CP31" s="221"/>
      <c r="CQ31" s="221"/>
      <c r="CR31" s="221"/>
      <c r="CS31" s="221"/>
      <c r="CT31" s="221"/>
      <c r="CU31" s="221"/>
      <c r="CV31" s="221"/>
      <c r="CW31" s="221"/>
      <c r="CX31" s="221"/>
      <c r="CY31" s="221"/>
      <c r="CZ31" s="221"/>
      <c r="DA31" s="221"/>
      <c r="DB31" s="221"/>
      <c r="DC31" s="221"/>
      <c r="DD31" s="221"/>
      <c r="DE31" s="221"/>
      <c r="DF31" s="221"/>
      <c r="DG31" s="221"/>
      <c r="DH31" s="221"/>
      <c r="DI31" s="221"/>
      <c r="DJ31" s="221"/>
      <c r="DK31" s="221"/>
      <c r="DL31" s="221"/>
      <c r="DM31" s="221"/>
      <c r="DN31" s="221"/>
      <c r="DO31" s="221"/>
      <c r="DP31" s="221"/>
      <c r="DQ31" s="221"/>
      <c r="DR31" s="221"/>
      <c r="DS31" s="221"/>
      <c r="DT31" s="221"/>
      <c r="DU31" s="221"/>
      <c r="DV31" s="221"/>
      <c r="DW31" s="221"/>
      <c r="DX31" s="221"/>
      <c r="DY31" s="221"/>
      <c r="DZ31" s="221"/>
      <c r="EA31" s="221"/>
      <c r="EB31" s="221"/>
      <c r="EC31" s="221"/>
      <c r="ED31" s="221"/>
      <c r="EE31" s="221"/>
      <c r="EF31" s="221"/>
      <c r="EG31" s="221"/>
      <c r="EH31" s="221"/>
      <c r="EI31" s="221"/>
      <c r="EJ31" s="221"/>
      <c r="EK31" s="221"/>
      <c r="EL31" s="221"/>
      <c r="EM31" s="221"/>
      <c r="EN31" s="221"/>
      <c r="EO31" s="221"/>
      <c r="EP31" s="221"/>
      <c r="EQ31" s="221"/>
      <c r="ER31" s="221"/>
      <c r="ES31" s="221"/>
      <c r="ET31" s="221"/>
      <c r="EU31" s="221"/>
      <c r="EV31" s="221"/>
      <c r="EW31" s="221"/>
      <c r="EX31" s="221"/>
      <c r="EY31" s="221"/>
      <c r="EZ31" s="221"/>
      <c r="FA31" s="221"/>
    </row>
    <row r="32" spans="1:157" ht="20.100000000000001" customHeight="1">
      <c r="A32" s="443"/>
      <c r="B32" s="136" t="s">
        <v>607</v>
      </c>
      <c r="C32" s="221">
        <f>SUM(C27,C30)</f>
        <v>1613469</v>
      </c>
      <c r="D32" s="221">
        <f t="shared" ref="D32:Y32" si="13">SUM(D27,D30)</f>
        <v>1782337</v>
      </c>
      <c r="E32" s="221">
        <f t="shared" si="13"/>
        <v>2018393</v>
      </c>
      <c r="F32" s="221">
        <f t="shared" si="13"/>
        <v>1834309</v>
      </c>
      <c r="G32" s="221">
        <f t="shared" si="13"/>
        <v>2112703</v>
      </c>
      <c r="H32" s="221">
        <f t="shared" si="13"/>
        <v>2383580</v>
      </c>
      <c r="I32" s="221">
        <f t="shared" si="13"/>
        <v>2294864</v>
      </c>
      <c r="J32" s="221">
        <f t="shared" si="13"/>
        <v>2509507</v>
      </c>
      <c r="K32" s="221">
        <f t="shared" si="13"/>
        <v>2631359</v>
      </c>
      <c r="L32" s="221">
        <f t="shared" si="13"/>
        <v>2978117</v>
      </c>
      <c r="M32" s="221">
        <f t="shared" si="13"/>
        <v>2988999</v>
      </c>
      <c r="N32" s="221">
        <f t="shared" si="13"/>
        <v>3208783</v>
      </c>
      <c r="O32" s="221">
        <f t="shared" si="13"/>
        <v>3454363</v>
      </c>
      <c r="P32" s="221">
        <f t="shared" si="13"/>
        <v>3251606</v>
      </c>
      <c r="Q32" s="221">
        <f t="shared" si="13"/>
        <v>3141146</v>
      </c>
      <c r="R32" s="221">
        <f t="shared" si="13"/>
        <v>3588743</v>
      </c>
      <c r="S32" s="221">
        <f t="shared" si="13"/>
        <v>3558010</v>
      </c>
      <c r="T32" s="221">
        <f t="shared" si="13"/>
        <v>3474057</v>
      </c>
      <c r="U32" s="221">
        <f t="shared" si="13"/>
        <v>3498940</v>
      </c>
      <c r="V32" s="221">
        <f t="shared" si="13"/>
        <v>3693861</v>
      </c>
      <c r="W32" s="221">
        <f t="shared" si="13"/>
        <v>3806554</v>
      </c>
      <c r="X32" s="221">
        <f t="shared" si="13"/>
        <v>4073792</v>
      </c>
      <c r="Y32" s="221">
        <f t="shared" si="13"/>
        <v>4321641</v>
      </c>
      <c r="Z32" s="221"/>
      <c r="AA32" s="221"/>
      <c r="AB32" s="221"/>
      <c r="AC32" s="221"/>
      <c r="AD32" s="221"/>
      <c r="AE32" s="221"/>
      <c r="AF32" s="221"/>
      <c r="AG32" s="221"/>
      <c r="AH32" s="221"/>
      <c r="AI32" s="221"/>
      <c r="AJ32" s="221"/>
      <c r="AK32" s="221"/>
      <c r="AL32" s="221"/>
      <c r="AM32" s="221"/>
      <c r="AN32" s="221"/>
      <c r="AO32" s="221"/>
      <c r="AP32" s="221"/>
      <c r="AQ32" s="221"/>
      <c r="AR32" s="221"/>
      <c r="AS32" s="221"/>
      <c r="AT32" s="221"/>
      <c r="AU32" s="221"/>
      <c r="AV32" s="221"/>
      <c r="AW32" s="221"/>
      <c r="AX32" s="221"/>
      <c r="AY32" s="221"/>
      <c r="AZ32" s="221"/>
      <c r="BA32" s="221"/>
      <c r="BB32" s="221"/>
      <c r="BC32" s="221"/>
      <c r="BD32" s="221"/>
      <c r="BE32" s="221"/>
      <c r="BF32" s="221"/>
      <c r="BG32" s="221"/>
      <c r="BH32" s="221"/>
      <c r="BI32" s="221"/>
      <c r="BJ32" s="221"/>
      <c r="BK32" s="221"/>
      <c r="BL32" s="221"/>
      <c r="BM32" s="221"/>
      <c r="BN32" s="221"/>
      <c r="BO32" s="221"/>
      <c r="BP32" s="221"/>
      <c r="BQ32" s="221"/>
      <c r="BR32" s="221"/>
      <c r="BS32" s="221"/>
      <c r="BT32" s="221"/>
      <c r="BU32" s="221"/>
      <c r="BV32" s="221"/>
      <c r="BW32" s="221"/>
      <c r="BX32" s="221"/>
      <c r="BY32" s="221"/>
      <c r="BZ32" s="221"/>
      <c r="CA32" s="221"/>
      <c r="CB32" s="221"/>
      <c r="CC32" s="221"/>
      <c r="CD32" s="221"/>
      <c r="CE32" s="221"/>
      <c r="CF32" s="221"/>
      <c r="CG32" s="221"/>
      <c r="CH32" s="221"/>
      <c r="CI32" s="221"/>
      <c r="CJ32" s="221"/>
      <c r="CK32" s="221"/>
      <c r="CL32" s="221"/>
      <c r="CM32" s="221"/>
      <c r="CN32" s="221"/>
      <c r="CO32" s="221"/>
      <c r="CP32" s="221"/>
      <c r="CQ32" s="221"/>
      <c r="CR32" s="221"/>
      <c r="CS32" s="221"/>
      <c r="CT32" s="221"/>
      <c r="CU32" s="221"/>
      <c r="CV32" s="221"/>
      <c r="CW32" s="221"/>
      <c r="CX32" s="221"/>
      <c r="CY32" s="221"/>
      <c r="CZ32" s="221"/>
      <c r="DA32" s="221"/>
      <c r="DB32" s="221"/>
      <c r="DC32" s="221"/>
      <c r="DD32" s="221"/>
      <c r="DE32" s="221"/>
      <c r="DF32" s="221"/>
      <c r="DG32" s="221"/>
      <c r="DH32" s="221"/>
      <c r="DI32" s="221"/>
      <c r="DJ32" s="221"/>
      <c r="DK32" s="221"/>
      <c r="DL32" s="221"/>
      <c r="DM32" s="221"/>
      <c r="DN32" s="221"/>
      <c r="DO32" s="221"/>
      <c r="DP32" s="221"/>
      <c r="DQ32" s="221"/>
      <c r="DR32" s="221"/>
      <c r="DS32" s="221"/>
      <c r="DT32" s="221"/>
      <c r="DU32" s="221"/>
      <c r="DV32" s="221"/>
      <c r="DW32" s="221"/>
      <c r="DX32" s="221"/>
      <c r="DY32" s="221"/>
      <c r="DZ32" s="221"/>
      <c r="EA32" s="221"/>
      <c r="EB32" s="221"/>
      <c r="EC32" s="221"/>
      <c r="ED32" s="221"/>
      <c r="EE32" s="221"/>
      <c r="EF32" s="221"/>
      <c r="EG32" s="221"/>
      <c r="EH32" s="221"/>
      <c r="EI32" s="221"/>
      <c r="EJ32" s="221"/>
      <c r="EK32" s="221"/>
      <c r="EL32" s="221"/>
      <c r="EM32" s="221"/>
      <c r="EN32" s="221"/>
      <c r="EO32" s="221"/>
      <c r="EP32" s="221"/>
      <c r="EQ32" s="221"/>
      <c r="ER32" s="221"/>
      <c r="ES32" s="221"/>
      <c r="ET32" s="221"/>
      <c r="EU32" s="221"/>
      <c r="EV32" s="221"/>
      <c r="EW32" s="221"/>
      <c r="EX32" s="221"/>
      <c r="EY32" s="221"/>
      <c r="EZ32" s="221"/>
      <c r="FA32" s="221"/>
    </row>
    <row r="33" spans="1:21">
      <c r="J33" s="150" t="s">
        <v>448</v>
      </c>
      <c r="K33" s="150" t="s">
        <v>449</v>
      </c>
    </row>
    <row r="34" spans="1:21">
      <c r="A34" s="215" t="s">
        <v>457</v>
      </c>
      <c r="B34" s="441" t="s">
        <v>453</v>
      </c>
      <c r="C34" s="441"/>
      <c r="D34" s="441" t="s">
        <v>450</v>
      </c>
      <c r="E34" s="441"/>
      <c r="F34" s="441" t="s">
        <v>454</v>
      </c>
      <c r="G34" s="441"/>
      <c r="I34" s="204" t="s">
        <v>456</v>
      </c>
      <c r="J34" s="442" t="s">
        <v>453</v>
      </c>
      <c r="K34" s="442"/>
      <c r="L34" s="440" t="s">
        <v>450</v>
      </c>
      <c r="M34" s="440"/>
      <c r="N34" s="440" t="s">
        <v>454</v>
      </c>
      <c r="O34" s="440"/>
      <c r="P34" s="440" t="s">
        <v>899</v>
      </c>
      <c r="Q34" s="440"/>
      <c r="T34" s="150"/>
      <c r="U34" s="150"/>
    </row>
    <row r="35" spans="1:21">
      <c r="A35" s="216" t="s">
        <v>203</v>
      </c>
      <c r="B35" s="217" t="s">
        <v>458</v>
      </c>
      <c r="C35" s="217" t="s">
        <v>459</v>
      </c>
      <c r="D35" s="217" t="s">
        <v>458</v>
      </c>
      <c r="E35" s="217" t="s">
        <v>459</v>
      </c>
      <c r="F35" s="217" t="s">
        <v>458</v>
      </c>
      <c r="G35" s="217" t="s">
        <v>459</v>
      </c>
      <c r="I35" s="212" t="s">
        <v>443</v>
      </c>
      <c r="J35" s="212" t="s">
        <v>451</v>
      </c>
      <c r="K35" s="212" t="s">
        <v>452</v>
      </c>
      <c r="L35" s="212" t="s">
        <v>445</v>
      </c>
      <c r="M35" s="212" t="s">
        <v>455</v>
      </c>
      <c r="N35" s="212" t="s">
        <v>451</v>
      </c>
      <c r="O35" s="212" t="s">
        <v>452</v>
      </c>
      <c r="P35" s="212" t="s">
        <v>446</v>
      </c>
      <c r="Q35" s="212" t="s">
        <v>444</v>
      </c>
      <c r="R35" s="212" t="s">
        <v>462</v>
      </c>
      <c r="S35" s="212" t="s">
        <v>447</v>
      </c>
    </row>
    <row r="36" spans="1:21">
      <c r="A36" s="218">
        <v>1990</v>
      </c>
      <c r="B36" s="199">
        <v>8260</v>
      </c>
      <c r="C36" s="199">
        <v>520</v>
      </c>
      <c r="D36" s="199">
        <v>236</v>
      </c>
      <c r="E36" s="199">
        <v>84</v>
      </c>
      <c r="F36" s="199">
        <f>SUM(B36,D36)</f>
        <v>8496</v>
      </c>
      <c r="G36" s="199">
        <f>SUM(C36,E36)</f>
        <v>604</v>
      </c>
      <c r="I36" s="14">
        <v>1990</v>
      </c>
      <c r="J36" s="201">
        <v>63914</v>
      </c>
      <c r="K36" s="201">
        <v>21127</v>
      </c>
      <c r="L36" s="201">
        <v>219781</v>
      </c>
      <c r="M36" s="201">
        <v>1833650</v>
      </c>
      <c r="N36" s="201">
        <f>SUM(J36,L36)</f>
        <v>283695</v>
      </c>
      <c r="O36" s="201">
        <f>SUM(K36,M36)</f>
        <v>1854777</v>
      </c>
      <c r="P36" s="201">
        <f>'Air-Cal'!D4/1000*'Air-Cal'!$P$38</f>
        <v>691.75726133577291</v>
      </c>
      <c r="Q36" s="208">
        <f>'Air-Cal'!E4/10^6*'Air-Cal'!$P$38</f>
        <v>3335.1570679040137</v>
      </c>
      <c r="R36" s="201">
        <f>SUM(O36,Q36)</f>
        <v>1858112.157067904</v>
      </c>
      <c r="S36" s="200">
        <f t="shared" ref="S36:S46" si="14">M36/L36</f>
        <v>8.3430778820735192</v>
      </c>
    </row>
    <row r="37" spans="1:21">
      <c r="A37" s="218">
        <v>1991</v>
      </c>
      <c r="B37" s="199">
        <v>8485</v>
      </c>
      <c r="C37" s="199">
        <v>524</v>
      </c>
      <c r="D37" s="199">
        <v>335</v>
      </c>
      <c r="E37" s="199">
        <v>113</v>
      </c>
      <c r="F37" s="199">
        <f t="shared" ref="F37:F65" si="15">SUM(B37,D37)</f>
        <v>8820</v>
      </c>
      <c r="G37" s="199">
        <f t="shared" ref="G37:G65" si="16">SUM(C37,E37)</f>
        <v>637</v>
      </c>
      <c r="I37" s="14">
        <v>1991</v>
      </c>
      <c r="J37" s="201">
        <v>76124</v>
      </c>
      <c r="K37" s="201">
        <v>24737</v>
      </c>
      <c r="L37" s="201">
        <v>262972</v>
      </c>
      <c r="M37" s="201">
        <v>2168582</v>
      </c>
      <c r="N37" s="201">
        <f t="shared" ref="N37:N62" si="17">SUM(J37,L37)</f>
        <v>339096</v>
      </c>
      <c r="O37" s="201">
        <f t="shared" ref="O37:O62" si="18">SUM(K37,M37)</f>
        <v>2193319</v>
      </c>
      <c r="P37" s="201">
        <f>'Air-Cal'!D5/1000*'Air-Cal'!$P$38</f>
        <v>711.43318823257107</v>
      </c>
      <c r="Q37" s="208">
        <f>'Air-Cal'!E5/10^6*'Air-Cal'!$P$38</f>
        <v>3279.018741124693</v>
      </c>
      <c r="R37" s="201">
        <f t="shared" ref="R37:R65" si="19">SUM(O37,Q37)</f>
        <v>2196598.0187411248</v>
      </c>
      <c r="S37" s="200">
        <f t="shared" si="14"/>
        <v>8.2464368830141606</v>
      </c>
    </row>
    <row r="38" spans="1:21">
      <c r="A38" s="218">
        <v>1992</v>
      </c>
      <c r="B38" s="199">
        <v>8733</v>
      </c>
      <c r="C38" s="199">
        <v>525</v>
      </c>
      <c r="D38" s="199">
        <v>338</v>
      </c>
      <c r="E38" s="199">
        <v>130</v>
      </c>
      <c r="F38" s="199">
        <f t="shared" si="15"/>
        <v>9071</v>
      </c>
      <c r="G38" s="199">
        <f t="shared" si="16"/>
        <v>655</v>
      </c>
      <c r="I38" s="14">
        <v>1992</v>
      </c>
      <c r="J38" s="201">
        <v>85589</v>
      </c>
      <c r="K38" s="201">
        <v>36008</v>
      </c>
      <c r="L38" s="201">
        <v>285573</v>
      </c>
      <c r="M38" s="201">
        <v>2457145</v>
      </c>
      <c r="N38" s="201">
        <f t="shared" si="17"/>
        <v>371162</v>
      </c>
      <c r="O38" s="201">
        <f t="shared" si="18"/>
        <v>2493153</v>
      </c>
      <c r="P38" s="201">
        <f>'Air-Cal'!D6/1000*'Air-Cal'!$P$38</f>
        <v>777.71743115434151</v>
      </c>
      <c r="Q38" s="208">
        <f>'Air-Cal'!E6/10^6*'Air-Cal'!$P$38</f>
        <v>3649.4864073361086</v>
      </c>
      <c r="R38" s="201">
        <f t="shared" si="19"/>
        <v>2496802.4864073363</v>
      </c>
      <c r="S38" s="200">
        <f t="shared" si="14"/>
        <v>8.6042623077111635</v>
      </c>
    </row>
    <row r="39" spans="1:21">
      <c r="A39" s="218">
        <v>1993</v>
      </c>
      <c r="B39" s="199">
        <v>7990</v>
      </c>
      <c r="C39" s="199">
        <v>468</v>
      </c>
      <c r="D39" s="199">
        <v>296</v>
      </c>
      <c r="E39" s="199">
        <v>112</v>
      </c>
      <c r="F39" s="199">
        <f t="shared" si="15"/>
        <v>8286</v>
      </c>
      <c r="G39" s="199">
        <f t="shared" si="16"/>
        <v>580</v>
      </c>
      <c r="I39" s="14">
        <v>1993</v>
      </c>
      <c r="J39" s="201">
        <v>96196</v>
      </c>
      <c r="K39" s="201">
        <v>38765</v>
      </c>
      <c r="L39" s="201">
        <v>316872</v>
      </c>
      <c r="M39" s="201">
        <v>2768396</v>
      </c>
      <c r="N39" s="201">
        <f t="shared" si="17"/>
        <v>413068</v>
      </c>
      <c r="O39" s="201">
        <f t="shared" si="18"/>
        <v>2807161</v>
      </c>
      <c r="P39" s="201">
        <f>'Air-Cal'!D7/1000*'Air-Cal'!$P$38</f>
        <v>882.28661309696463</v>
      </c>
      <c r="Q39" s="208">
        <f>'Air-Cal'!E7/10^6*'Air-Cal'!$P$38</f>
        <v>4532.7321941150904</v>
      </c>
      <c r="R39" s="201">
        <f t="shared" si="19"/>
        <v>2811693.7321941149</v>
      </c>
      <c r="S39" s="200">
        <f t="shared" si="14"/>
        <v>8.736638137796966</v>
      </c>
    </row>
    <row r="40" spans="1:21">
      <c r="A40" s="218">
        <v>1994</v>
      </c>
      <c r="B40" s="199">
        <v>7869</v>
      </c>
      <c r="C40" s="199">
        <v>436</v>
      </c>
      <c r="D40" s="199">
        <v>411</v>
      </c>
      <c r="E40" s="199">
        <v>163</v>
      </c>
      <c r="F40" s="199">
        <f t="shared" si="15"/>
        <v>8280</v>
      </c>
      <c r="G40" s="199">
        <f t="shared" si="16"/>
        <v>599</v>
      </c>
      <c r="I40" s="14">
        <v>1994</v>
      </c>
      <c r="J40" s="201">
        <v>117694</v>
      </c>
      <c r="K40" s="201">
        <v>34935</v>
      </c>
      <c r="L40" s="201">
        <v>353428</v>
      </c>
      <c r="M40" s="201">
        <v>2881696</v>
      </c>
      <c r="N40" s="201">
        <f t="shared" si="17"/>
        <v>471122</v>
      </c>
      <c r="O40" s="201">
        <f t="shared" si="18"/>
        <v>2916631</v>
      </c>
      <c r="P40" s="201">
        <f>'Air-Cal'!D8/1000*'Air-Cal'!$P$38</f>
        <v>1022.8850743821204</v>
      </c>
      <c r="Q40" s="208">
        <f>'Air-Cal'!E8/10^6*'Air-Cal'!$P$38</f>
        <v>5124.0649144423633</v>
      </c>
      <c r="R40" s="201">
        <f t="shared" si="19"/>
        <v>2921755.0649144421</v>
      </c>
      <c r="S40" s="200">
        <f t="shared" si="14"/>
        <v>8.1535588578154528</v>
      </c>
    </row>
    <row r="41" spans="1:21">
      <c r="A41" s="218">
        <v>1995</v>
      </c>
      <c r="B41" s="199">
        <v>8702</v>
      </c>
      <c r="C41" s="199">
        <v>502</v>
      </c>
      <c r="D41" s="199">
        <v>395</v>
      </c>
      <c r="E41" s="199">
        <v>136</v>
      </c>
      <c r="F41" s="199">
        <f t="shared" si="15"/>
        <v>9097</v>
      </c>
      <c r="G41" s="199">
        <f t="shared" si="16"/>
        <v>638</v>
      </c>
      <c r="I41" s="14">
        <v>1995</v>
      </c>
      <c r="J41" s="201">
        <v>129112</v>
      </c>
      <c r="K41" s="201">
        <v>43936</v>
      </c>
      <c r="L41" s="201">
        <v>404424</v>
      </c>
      <c r="M41" s="201">
        <v>3263717</v>
      </c>
      <c r="N41" s="201">
        <f t="shared" si="17"/>
        <v>533536</v>
      </c>
      <c r="O41" s="201">
        <f t="shared" si="18"/>
        <v>3307653</v>
      </c>
      <c r="P41" s="201">
        <f>'Air-Cal'!D9/1000*'Air-Cal'!$P$38</f>
        <v>1163.1310212592546</v>
      </c>
      <c r="Q41" s="208">
        <f>'Air-Cal'!E9/10^6*'Air-Cal'!$P$38</f>
        <v>5924.5774944306577</v>
      </c>
      <c r="R41" s="201">
        <f t="shared" si="19"/>
        <v>3313577.5774944308</v>
      </c>
      <c r="S41" s="200">
        <f t="shared" si="14"/>
        <v>8.0700378810357449</v>
      </c>
    </row>
    <row r="42" spans="1:21">
      <c r="A42" s="218">
        <v>1996</v>
      </c>
      <c r="B42" s="199">
        <v>9413</v>
      </c>
      <c r="C42" s="199">
        <v>547</v>
      </c>
      <c r="D42" s="199">
        <v>523</v>
      </c>
      <c r="E42" s="199">
        <v>198</v>
      </c>
      <c r="F42" s="199">
        <f t="shared" si="15"/>
        <v>9936</v>
      </c>
      <c r="G42" s="199">
        <f t="shared" si="16"/>
        <v>745</v>
      </c>
      <c r="I42" s="14">
        <v>1996</v>
      </c>
      <c r="J42" s="201">
        <v>140948</v>
      </c>
      <c r="K42" s="201">
        <v>46452</v>
      </c>
      <c r="L42" s="201">
        <v>441120</v>
      </c>
      <c r="M42" s="201">
        <v>3575745</v>
      </c>
      <c r="N42" s="201">
        <f t="shared" si="17"/>
        <v>582068</v>
      </c>
      <c r="O42" s="201">
        <f t="shared" si="18"/>
        <v>3622197</v>
      </c>
      <c r="P42" s="201">
        <f>'Air-Cal'!D10/1000*'Air-Cal'!$P$38</f>
        <v>1284.8659968292889</v>
      </c>
      <c r="Q42" s="208">
        <f>'Air-Cal'!E10/10^6*'Air-Cal'!$P$38</f>
        <v>6615.5542787746344</v>
      </c>
      <c r="R42" s="201">
        <f t="shared" si="19"/>
        <v>3628812.5542787747</v>
      </c>
      <c r="S42" s="200">
        <f t="shared" si="14"/>
        <v>8.1060595756256806</v>
      </c>
    </row>
    <row r="43" spans="1:21">
      <c r="A43" s="218">
        <v>1997</v>
      </c>
      <c r="B43" s="199">
        <v>9899</v>
      </c>
      <c r="C43" s="199">
        <v>571</v>
      </c>
      <c r="D43" s="199">
        <v>564</v>
      </c>
      <c r="E43" s="199">
        <v>214</v>
      </c>
      <c r="F43" s="199">
        <f t="shared" si="15"/>
        <v>10463</v>
      </c>
      <c r="G43" s="199">
        <f t="shared" si="16"/>
        <v>785</v>
      </c>
      <c r="I43" s="14">
        <v>1997</v>
      </c>
      <c r="J43" s="201">
        <v>147046</v>
      </c>
      <c r="K43" s="201">
        <v>45299</v>
      </c>
      <c r="L43" s="201">
        <v>485030</v>
      </c>
      <c r="M43" s="201">
        <v>4170203</v>
      </c>
      <c r="N43" s="201">
        <f t="shared" si="17"/>
        <v>632076</v>
      </c>
      <c r="O43" s="201">
        <f t="shared" si="18"/>
        <v>4215502</v>
      </c>
      <c r="P43" s="201">
        <f>'Air-Cal'!D11/1000*'Air-Cal'!$P$38</f>
        <v>1455.0360195284388</v>
      </c>
      <c r="Q43" s="208">
        <f>'Air-Cal'!E11/10^6*'Air-Cal'!$P$38</f>
        <v>7714.119264961666</v>
      </c>
      <c r="R43" s="201">
        <f t="shared" si="19"/>
        <v>4223216.1192649612</v>
      </c>
      <c r="S43" s="200">
        <f t="shared" si="14"/>
        <v>8.5978248768117442</v>
      </c>
    </row>
    <row r="44" spans="1:21">
      <c r="A44" s="218">
        <v>1998</v>
      </c>
      <c r="B44" s="199">
        <v>8277</v>
      </c>
      <c r="C44" s="199">
        <v>434</v>
      </c>
      <c r="D44" s="199">
        <v>538</v>
      </c>
      <c r="E44" s="199">
        <v>200</v>
      </c>
      <c r="F44" s="199">
        <f t="shared" si="15"/>
        <v>8815</v>
      </c>
      <c r="G44" s="199">
        <f t="shared" si="16"/>
        <v>634</v>
      </c>
      <c r="I44" s="14">
        <v>1998</v>
      </c>
      <c r="J44" s="201">
        <v>115179</v>
      </c>
      <c r="K44" s="201">
        <v>33462</v>
      </c>
      <c r="L44" s="201">
        <v>474752</v>
      </c>
      <c r="M44" s="201">
        <v>4215379</v>
      </c>
      <c r="N44" s="201">
        <f t="shared" si="17"/>
        <v>589931</v>
      </c>
      <c r="O44" s="201">
        <f t="shared" si="18"/>
        <v>4248841</v>
      </c>
      <c r="P44" s="201">
        <f>'Air-Cal'!D12/1000*'Air-Cal'!$P$38</f>
        <v>1322.3240769012657</v>
      </c>
      <c r="Q44" s="208">
        <f>'Air-Cal'!E12/10^6*'Air-Cal'!$P$38</f>
        <v>6776.4244436999033</v>
      </c>
      <c r="R44" s="201">
        <f t="shared" si="19"/>
        <v>4255617.4244437004</v>
      </c>
      <c r="S44" s="200">
        <f t="shared" si="14"/>
        <v>8.8791179394715556</v>
      </c>
    </row>
    <row r="45" spans="1:21">
      <c r="A45" s="218">
        <v>1999</v>
      </c>
      <c r="B45" s="199">
        <v>9052</v>
      </c>
      <c r="C45" s="199">
        <v>543</v>
      </c>
      <c r="D45" s="199">
        <v>805</v>
      </c>
      <c r="E45" s="199">
        <v>299</v>
      </c>
      <c r="F45" s="199">
        <f t="shared" si="15"/>
        <v>9857</v>
      </c>
      <c r="G45" s="199">
        <f t="shared" si="16"/>
        <v>842</v>
      </c>
      <c r="I45" s="14">
        <v>1999</v>
      </c>
      <c r="J45" s="201">
        <v>123693</v>
      </c>
      <c r="K45" s="201">
        <v>33699</v>
      </c>
      <c r="L45" s="201">
        <v>532183</v>
      </c>
      <c r="M45" s="201">
        <v>4670305</v>
      </c>
      <c r="N45" s="201">
        <f t="shared" si="17"/>
        <v>655876</v>
      </c>
      <c r="O45" s="201">
        <f t="shared" si="18"/>
        <v>4704004</v>
      </c>
      <c r="P45" s="201">
        <f>'Air-Cal'!D13/1000*'Air-Cal'!$P$38</f>
        <v>1523.0230007564389</v>
      </c>
      <c r="Q45" s="208">
        <f>'Air-Cal'!E13/10^6*'Air-Cal'!$P$38</f>
        <v>7856.4579860712984</v>
      </c>
      <c r="R45" s="201">
        <f t="shared" si="19"/>
        <v>4711860.4579860717</v>
      </c>
      <c r="S45" s="200">
        <f t="shared" si="14"/>
        <v>8.7757500709342455</v>
      </c>
    </row>
    <row r="46" spans="1:21">
      <c r="A46" s="218">
        <v>2000</v>
      </c>
      <c r="B46" s="199">
        <v>9702</v>
      </c>
      <c r="C46" s="199">
        <v>672</v>
      </c>
      <c r="D46" s="199">
        <v>999</v>
      </c>
      <c r="E46" s="199">
        <v>398</v>
      </c>
      <c r="F46" s="199">
        <f t="shared" si="15"/>
        <v>10701</v>
      </c>
      <c r="G46" s="199">
        <f t="shared" si="16"/>
        <v>1070</v>
      </c>
      <c r="I46" s="14">
        <v>2000</v>
      </c>
      <c r="J46" s="201">
        <v>131987</v>
      </c>
      <c r="K46" s="201">
        <v>38298</v>
      </c>
      <c r="L46" s="201">
        <v>569599</v>
      </c>
      <c r="M46" s="201">
        <v>4362779</v>
      </c>
      <c r="N46" s="201">
        <f t="shared" si="17"/>
        <v>701586</v>
      </c>
      <c r="O46" s="201">
        <f t="shared" si="18"/>
        <v>4401077</v>
      </c>
      <c r="P46" s="201">
        <f>'Air-Cal'!D14/1000*'Air-Cal'!$P$38</f>
        <v>1718.2957979261798</v>
      </c>
      <c r="Q46" s="208">
        <f>'Air-Cal'!E14/10^6*'Air-Cal'!$P$38</f>
        <v>8960.6029466122145</v>
      </c>
      <c r="R46" s="201">
        <f t="shared" si="19"/>
        <v>4410037.6029466121</v>
      </c>
      <c r="S46" s="200">
        <f t="shared" si="14"/>
        <v>7.6593866913389945</v>
      </c>
    </row>
    <row r="47" spans="1:21">
      <c r="A47" s="218">
        <v>2001</v>
      </c>
      <c r="B47" s="199">
        <v>9340</v>
      </c>
      <c r="C47" s="199">
        <v>555</v>
      </c>
      <c r="D47" s="199">
        <v>1075</v>
      </c>
      <c r="E47" s="199">
        <v>401</v>
      </c>
      <c r="F47" s="199">
        <f t="shared" si="15"/>
        <v>10415</v>
      </c>
      <c r="G47" s="199">
        <f t="shared" si="16"/>
        <v>956</v>
      </c>
      <c r="I47" s="14">
        <v>2001</v>
      </c>
      <c r="J47" s="201">
        <v>140544</v>
      </c>
      <c r="K47" s="201">
        <v>36443</v>
      </c>
      <c r="L47" s="226">
        <f>INDEX($C$29:$Y$29,MATCH('Ships-Cal'!I47,'Ships-Cal'!$C$22:$Y$22,0))/1000</f>
        <v>610910.071</v>
      </c>
      <c r="M47" s="206">
        <f t="shared" ref="M47:M65" si="20">L47*S47</f>
        <v>5184035.0642846422</v>
      </c>
      <c r="N47" s="201">
        <f t="shared" si="17"/>
        <v>751454.071</v>
      </c>
      <c r="O47" s="206">
        <f t="shared" si="18"/>
        <v>5220478.0642846422</v>
      </c>
      <c r="P47" s="201">
        <f>'Air-Cal'!D15/1000*'Air-Cal'!$P$38</f>
        <v>1654.3407452954461</v>
      </c>
      <c r="Q47" s="208">
        <f>'Air-Cal'!E15/10^6*'Air-Cal'!$P$38</f>
        <v>8165.3187738170891</v>
      </c>
      <c r="R47" s="201">
        <f t="shared" si="19"/>
        <v>5228643.3830584595</v>
      </c>
      <c r="S47" s="207">
        <f>AVERAGE($S$41:$S$45)</f>
        <v>8.4857580687757928</v>
      </c>
    </row>
    <row r="48" spans="1:21">
      <c r="A48" s="218">
        <v>2002</v>
      </c>
      <c r="B48" s="199">
        <v>9460</v>
      </c>
      <c r="C48" s="199">
        <v>565</v>
      </c>
      <c r="D48" s="199">
        <v>1253</v>
      </c>
      <c r="E48" s="199">
        <v>459</v>
      </c>
      <c r="F48" s="199">
        <f t="shared" si="15"/>
        <v>10713</v>
      </c>
      <c r="G48" s="199">
        <f t="shared" si="16"/>
        <v>1024</v>
      </c>
      <c r="I48" s="14">
        <v>2002</v>
      </c>
      <c r="J48" s="201">
        <v>141706</v>
      </c>
      <c r="K48" s="201">
        <v>38171</v>
      </c>
      <c r="L48" s="226">
        <f>INDEX($C$29:$Y$29,MATCH('Ships-Cal'!I48,'Ships-Cal'!$C$22:$Y$22,0))/1000</f>
        <v>635545.272</v>
      </c>
      <c r="M48" s="206">
        <f t="shared" si="20"/>
        <v>5393083.4199463055</v>
      </c>
      <c r="N48" s="201">
        <f t="shared" si="17"/>
        <v>777251.272</v>
      </c>
      <c r="O48" s="206">
        <f t="shared" si="18"/>
        <v>5431254.4199463055</v>
      </c>
      <c r="P48" s="201">
        <f>'Air-Cal'!D16/1000*'Air-Cal'!$P$38</f>
        <v>1809.0743855427331</v>
      </c>
      <c r="Q48" s="208">
        <f>'Air-Cal'!E16/10^6*'Air-Cal'!$P$38</f>
        <v>9087.7672020333684</v>
      </c>
      <c r="R48" s="201">
        <f t="shared" si="19"/>
        <v>5440342.1871483391</v>
      </c>
      <c r="S48" s="207">
        <f t="shared" ref="S48:S65" si="21">AVERAGE($S$41:$S$45)</f>
        <v>8.4857580687757928</v>
      </c>
    </row>
    <row r="49" spans="1:19">
      <c r="A49" s="218">
        <v>2003</v>
      </c>
      <c r="B49" s="199">
        <v>10336</v>
      </c>
      <c r="C49" s="199">
        <v>620</v>
      </c>
      <c r="D49" s="199">
        <v>1380</v>
      </c>
      <c r="E49" s="199">
        <v>535</v>
      </c>
      <c r="F49" s="199">
        <f t="shared" si="15"/>
        <v>11716</v>
      </c>
      <c r="G49" s="199">
        <f t="shared" si="16"/>
        <v>1155</v>
      </c>
      <c r="I49" s="14">
        <v>2003</v>
      </c>
      <c r="J49" s="201">
        <v>145327</v>
      </c>
      <c r="K49" s="201">
        <v>33884</v>
      </c>
      <c r="L49" s="226">
        <f>INDEX($C$29:$Y$29,MATCH('Ships-Cal'!I49,'Ships-Cal'!$C$22:$Y$22,0))/1000</f>
        <v>667608.03300000005</v>
      </c>
      <c r="M49" s="206">
        <f t="shared" si="20"/>
        <v>5665160.2528092861</v>
      </c>
      <c r="N49" s="201">
        <f t="shared" si="17"/>
        <v>812935.03300000005</v>
      </c>
      <c r="O49" s="206">
        <f t="shared" si="18"/>
        <v>5699044.2528092861</v>
      </c>
      <c r="P49" s="201">
        <f>'Air-Cal'!D17/1000*'Air-Cal'!$P$38</f>
        <v>1896.9160739808021</v>
      </c>
      <c r="Q49" s="208">
        <f>'Air-Cal'!E17/10^6*'Air-Cal'!$P$38</f>
        <v>8431.3801975983297</v>
      </c>
      <c r="R49" s="201">
        <f t="shared" si="19"/>
        <v>5707475.6330068847</v>
      </c>
      <c r="S49" s="207">
        <f t="shared" si="21"/>
        <v>8.4857580687757928</v>
      </c>
    </row>
    <row r="50" spans="1:19">
      <c r="A50" s="218">
        <v>2004</v>
      </c>
      <c r="B50" s="199">
        <v>10648</v>
      </c>
      <c r="C50" s="199">
        <v>657</v>
      </c>
      <c r="D50" s="199">
        <v>1822</v>
      </c>
      <c r="E50" s="199">
        <v>714</v>
      </c>
      <c r="F50" s="199">
        <f t="shared" si="15"/>
        <v>12470</v>
      </c>
      <c r="G50" s="199">
        <f t="shared" si="16"/>
        <v>1371</v>
      </c>
      <c r="I50" s="14">
        <v>2004</v>
      </c>
      <c r="J50" s="201">
        <v>115636</v>
      </c>
      <c r="K50" s="201">
        <v>25840</v>
      </c>
      <c r="L50" s="226">
        <f>INDEX($C$29:$Y$29,MATCH('Ships-Cal'!I50,'Ships-Cal'!$C$22:$Y$22,0))/1000</f>
        <v>733377.11399999994</v>
      </c>
      <c r="M50" s="206">
        <f t="shared" si="20"/>
        <v>6223260.7625810038</v>
      </c>
      <c r="N50" s="201">
        <f t="shared" si="17"/>
        <v>849013.11399999994</v>
      </c>
      <c r="O50" s="206">
        <f t="shared" si="18"/>
        <v>6249100.7625810038</v>
      </c>
      <c r="P50" s="201">
        <f>'Air-Cal'!D18/1000*'Air-Cal'!$P$38</f>
        <v>2146.8906007928063</v>
      </c>
      <c r="Q50" s="208">
        <f>'Air-Cal'!E18/10^6*'Air-Cal'!$P$38</f>
        <v>9955.3353509783901</v>
      </c>
      <c r="R50" s="201">
        <f t="shared" si="19"/>
        <v>6259056.097931982</v>
      </c>
      <c r="S50" s="207">
        <f t="shared" si="21"/>
        <v>8.4857580687757928</v>
      </c>
    </row>
    <row r="51" spans="1:19">
      <c r="A51" s="218">
        <v>2005</v>
      </c>
      <c r="B51" s="199">
        <v>11100</v>
      </c>
      <c r="C51" s="199">
        <v>668</v>
      </c>
      <c r="D51" s="199">
        <v>2105</v>
      </c>
      <c r="E51" s="199">
        <v>857</v>
      </c>
      <c r="F51" s="199">
        <f t="shared" si="15"/>
        <v>13205</v>
      </c>
      <c r="G51" s="199">
        <f t="shared" si="16"/>
        <v>1525</v>
      </c>
      <c r="I51" s="14">
        <v>2005</v>
      </c>
      <c r="J51" s="201">
        <v>119410</v>
      </c>
      <c r="K51" s="201">
        <v>26590</v>
      </c>
      <c r="L51" s="226">
        <f>INDEX($C$29:$Y$29,MATCH('Ships-Cal'!I51,'Ships-Cal'!$C$22:$Y$22,0))/1000</f>
        <v>754936.40899999999</v>
      </c>
      <c r="M51" s="206">
        <f t="shared" si="20"/>
        <v>6406207.7240843717</v>
      </c>
      <c r="N51" s="201">
        <f t="shared" si="17"/>
        <v>874346.40899999999</v>
      </c>
      <c r="O51" s="206">
        <f t="shared" si="18"/>
        <v>6432797.7240843717</v>
      </c>
      <c r="P51" s="201">
        <f>'Air-Cal'!D19/1000*'Air-Cal'!$P$38</f>
        <v>2154.8816482629832</v>
      </c>
      <c r="Q51" s="208">
        <f>'Air-Cal'!E19/10^6*'Air-Cal'!$P$38</f>
        <v>9802.5388365160234</v>
      </c>
      <c r="R51" s="201">
        <f t="shared" si="19"/>
        <v>6442600.2629208881</v>
      </c>
      <c r="S51" s="207">
        <f t="shared" si="21"/>
        <v>8.4857580687757928</v>
      </c>
    </row>
    <row r="52" spans="1:19">
      <c r="A52" s="218">
        <v>2006</v>
      </c>
      <c r="B52" s="199">
        <v>11574</v>
      </c>
      <c r="C52" s="199">
        <v>709</v>
      </c>
      <c r="D52" s="199">
        <v>2385</v>
      </c>
      <c r="E52" s="199">
        <v>993</v>
      </c>
      <c r="F52" s="199">
        <f t="shared" si="15"/>
        <v>13959</v>
      </c>
      <c r="G52" s="199">
        <f t="shared" si="16"/>
        <v>1702</v>
      </c>
      <c r="I52" s="14">
        <v>2006</v>
      </c>
      <c r="J52" s="201">
        <v>117805</v>
      </c>
      <c r="K52" s="201">
        <v>26478</v>
      </c>
      <c r="L52" s="226">
        <f>INDEX($C$29:$Y$29,MATCH('Ships-Cal'!I52,'Ships-Cal'!$C$22:$Y$22,0))/1000</f>
        <v>809829.60400000005</v>
      </c>
      <c r="M52" s="206">
        <f t="shared" si="20"/>
        <v>6872018.0964765055</v>
      </c>
      <c r="N52" s="201">
        <f t="shared" si="17"/>
        <v>927634.60400000005</v>
      </c>
      <c r="O52" s="206">
        <f t="shared" si="18"/>
        <v>6898496.0964765055</v>
      </c>
      <c r="P52" s="201">
        <f>'Air-Cal'!D20/1000*'Air-Cal'!$P$38</f>
        <v>2313.1743143434019</v>
      </c>
      <c r="Q52" s="208">
        <f>'Air-Cal'!E20/10^6*'Air-Cal'!$P$38</f>
        <v>10618.911391514719</v>
      </c>
      <c r="R52" s="201">
        <f t="shared" si="19"/>
        <v>6909115.0078680199</v>
      </c>
      <c r="S52" s="207">
        <f t="shared" si="21"/>
        <v>8.4857580687757928</v>
      </c>
    </row>
    <row r="53" spans="1:19">
      <c r="A53" s="218">
        <v>2007</v>
      </c>
      <c r="B53" s="199">
        <v>12634</v>
      </c>
      <c r="C53" s="199">
        <v>765</v>
      </c>
      <c r="D53" s="199">
        <v>2550</v>
      </c>
      <c r="E53" s="199">
        <v>1019</v>
      </c>
      <c r="F53" s="199">
        <f t="shared" si="15"/>
        <v>15184</v>
      </c>
      <c r="G53" s="199">
        <f t="shared" si="16"/>
        <v>1784</v>
      </c>
      <c r="I53" s="14">
        <v>2007</v>
      </c>
      <c r="J53" s="201">
        <v>120079</v>
      </c>
      <c r="K53" s="201">
        <v>27998</v>
      </c>
      <c r="L53" s="226">
        <f>INDEX($C$29:$Y$29,MATCH('Ships-Cal'!I53,'Ships-Cal'!$C$22:$Y$22,0))/1000</f>
        <v>862523.478</v>
      </c>
      <c r="M53" s="206">
        <f t="shared" si="20"/>
        <v>7319165.56294706</v>
      </c>
      <c r="N53" s="201">
        <f t="shared" si="17"/>
        <v>982602.478</v>
      </c>
      <c r="O53" s="206">
        <f t="shared" si="18"/>
        <v>7347163.56294706</v>
      </c>
      <c r="P53" s="201">
        <f>'Air-Cal'!D21/1000*'Air-Cal'!$P$38</f>
        <v>2490.3146065950227</v>
      </c>
      <c r="Q53" s="208">
        <f>'Air-Cal'!E21/10^6*'Air-Cal'!$P$38</f>
        <v>11447.860764527384</v>
      </c>
      <c r="R53" s="201">
        <f t="shared" si="19"/>
        <v>7358611.4237115877</v>
      </c>
      <c r="S53" s="207">
        <f t="shared" si="21"/>
        <v>8.4857580687757928</v>
      </c>
    </row>
    <row r="54" spans="1:19">
      <c r="A54" s="218">
        <v>2008</v>
      </c>
      <c r="B54" s="199">
        <v>14162</v>
      </c>
      <c r="C54" s="199">
        <v>765</v>
      </c>
      <c r="D54" s="199">
        <v>2534</v>
      </c>
      <c r="E54" s="199">
        <v>1019</v>
      </c>
      <c r="F54" s="199">
        <f t="shared" si="15"/>
        <v>16696</v>
      </c>
      <c r="G54" s="199">
        <f t="shared" si="16"/>
        <v>1784</v>
      </c>
      <c r="I54" s="14">
        <v>2008</v>
      </c>
      <c r="J54" s="201">
        <v>126964</v>
      </c>
      <c r="K54" s="201">
        <v>29590</v>
      </c>
      <c r="L54" s="226">
        <f>INDEX($C$29:$Y$29,MATCH('Ships-Cal'!I54,'Ships-Cal'!$C$22:$Y$22,0))/1000</f>
        <v>892936.38199999998</v>
      </c>
      <c r="M54" s="206">
        <f t="shared" si="20"/>
        <v>7577242.1084599635</v>
      </c>
      <c r="N54" s="201">
        <f t="shared" si="17"/>
        <v>1019900.382</v>
      </c>
      <c r="O54" s="206">
        <f t="shared" si="18"/>
        <v>7606832.1084599635</v>
      </c>
      <c r="P54" s="201">
        <f>'Air-Cal'!D22/1000*'Air-Cal'!$P$38</f>
        <v>2344.0449165820478</v>
      </c>
      <c r="Q54" s="208">
        <f>'Air-Cal'!E22/10^6*'Air-Cal'!$P$38</f>
        <v>10776.255766443803</v>
      </c>
      <c r="R54" s="201">
        <f t="shared" si="19"/>
        <v>7617608.3642264074</v>
      </c>
      <c r="S54" s="207">
        <f t="shared" si="21"/>
        <v>8.4857580687757928</v>
      </c>
    </row>
    <row r="55" spans="1:19">
      <c r="A55" s="218">
        <v>2009</v>
      </c>
      <c r="B55" s="199">
        <v>14868</v>
      </c>
      <c r="C55" s="199">
        <v>867</v>
      </c>
      <c r="D55" s="199">
        <v>2089</v>
      </c>
      <c r="E55" s="199">
        <v>845</v>
      </c>
      <c r="F55" s="199">
        <f t="shared" si="15"/>
        <v>16957</v>
      </c>
      <c r="G55" s="199">
        <f t="shared" si="16"/>
        <v>1712</v>
      </c>
      <c r="I55" s="14">
        <v>2009</v>
      </c>
      <c r="J55" s="201">
        <v>120032</v>
      </c>
      <c r="K55" s="201">
        <v>25249</v>
      </c>
      <c r="L55" s="226">
        <f>INDEX($C$29:$Y$29,MATCH('Ships-Cal'!I55,'Ships-Cal'!$C$22:$Y$22,0))/1000</f>
        <v>848298.64399999997</v>
      </c>
      <c r="M55" s="206">
        <f t="shared" si="20"/>
        <v>7198457.0630545635</v>
      </c>
      <c r="N55" s="201">
        <f t="shared" si="17"/>
        <v>968330.64399999997</v>
      </c>
      <c r="O55" s="206">
        <f t="shared" si="18"/>
        <v>7223706.0630545635</v>
      </c>
      <c r="P55" s="201">
        <f>'Air-Cal'!D23/1000*'Air-Cal'!O39</f>
        <v>2378.3393750249929</v>
      </c>
      <c r="Q55" s="208">
        <f>'Air-Cal'!E23/10^6*'Air-Cal'!O39</f>
        <v>10664.689765299587</v>
      </c>
      <c r="R55" s="201">
        <f t="shared" si="19"/>
        <v>7234370.7528198631</v>
      </c>
      <c r="S55" s="207">
        <f t="shared" si="21"/>
        <v>8.4857580687757928</v>
      </c>
    </row>
    <row r="56" spans="1:19">
      <c r="A56" s="218">
        <v>2010</v>
      </c>
      <c r="B56" s="199">
        <v>14308</v>
      </c>
      <c r="C56" s="199">
        <v>883</v>
      </c>
      <c r="D56" s="199">
        <v>2761</v>
      </c>
      <c r="E56" s="199">
        <v>1104</v>
      </c>
      <c r="F56" s="199">
        <f t="shared" si="15"/>
        <v>17069</v>
      </c>
      <c r="G56" s="199">
        <f t="shared" si="16"/>
        <v>1987</v>
      </c>
      <c r="I56" s="14">
        <v>2010</v>
      </c>
      <c r="J56" s="201">
        <v>124225</v>
      </c>
      <c r="K56" s="201">
        <v>23281</v>
      </c>
      <c r="L56" s="226">
        <f>INDEX($C$29:$Y$29,MATCH('Ships-Cal'!I56,'Ships-Cal'!$C$22:$Y$22,0))/1000</f>
        <v>966193.34199999995</v>
      </c>
      <c r="M56" s="206">
        <f t="shared" si="20"/>
        <v>8198882.9478739481</v>
      </c>
      <c r="N56" s="201">
        <f t="shared" si="17"/>
        <v>1090418.3419999999</v>
      </c>
      <c r="O56" s="206">
        <f t="shared" si="18"/>
        <v>8222163.9478739481</v>
      </c>
      <c r="P56" s="201">
        <f>'Air-Cal'!D24/1000*'Air-Cal'!O40</f>
        <v>2666.5796295080509</v>
      </c>
      <c r="Q56" s="208">
        <f>'Air-Cal'!E24/10^6*'Air-Cal'!O40</f>
        <v>12168.095647228281</v>
      </c>
      <c r="R56" s="201">
        <f t="shared" si="19"/>
        <v>8234332.0435211761</v>
      </c>
      <c r="S56" s="207">
        <f t="shared" si="21"/>
        <v>8.4857580687757928</v>
      </c>
    </row>
    <row r="57" spans="1:19">
      <c r="A57" s="218">
        <v>2011</v>
      </c>
      <c r="B57" s="199">
        <v>14266</v>
      </c>
      <c r="C57" s="199">
        <v>981</v>
      </c>
      <c r="D57" s="199">
        <v>2660</v>
      </c>
      <c r="E57" s="199">
        <v>1188</v>
      </c>
      <c r="F57" s="199">
        <f t="shared" si="15"/>
        <v>16926</v>
      </c>
      <c r="G57" s="199">
        <f t="shared" si="16"/>
        <v>2169</v>
      </c>
      <c r="I57" s="14">
        <v>2011</v>
      </c>
      <c r="J57" s="201">
        <v>125588</v>
      </c>
      <c r="K57" s="201">
        <v>27220</v>
      </c>
      <c r="L57" s="226">
        <f>INDEX($C$29:$Y$29,MATCH('Ships-Cal'!I57,'Ships-Cal'!$C$22:$Y$22,0))/1000</f>
        <v>1047986.198</v>
      </c>
      <c r="M57" s="206">
        <f t="shared" si="20"/>
        <v>8892957.3356441651</v>
      </c>
      <c r="N57" s="201">
        <f t="shared" si="17"/>
        <v>1173574.1979999999</v>
      </c>
      <c r="O57" s="206">
        <f t="shared" si="18"/>
        <v>8920177.3356441651</v>
      </c>
      <c r="P57" s="201">
        <f>'Air-Cal'!D25/1000*'Air-Cal'!O41</f>
        <v>2623.977728049188</v>
      </c>
      <c r="Q57" s="208">
        <f>'Air-Cal'!E25/10^6*'Air-Cal'!O41</f>
        <v>11945.691068932232</v>
      </c>
      <c r="R57" s="201">
        <f t="shared" si="19"/>
        <v>8932123.0267130975</v>
      </c>
      <c r="S57" s="207">
        <f t="shared" si="21"/>
        <v>8.4857580687757928</v>
      </c>
    </row>
    <row r="58" spans="1:19">
      <c r="A58" s="218">
        <v>2012</v>
      </c>
      <c r="B58" s="199">
        <v>14538</v>
      </c>
      <c r="C58" s="199">
        <v>922</v>
      </c>
      <c r="D58" s="199">
        <v>2881</v>
      </c>
      <c r="E58" s="199">
        <v>1163</v>
      </c>
      <c r="F58" s="199">
        <f t="shared" si="15"/>
        <v>17419</v>
      </c>
      <c r="G58" s="199">
        <f t="shared" si="16"/>
        <v>2085</v>
      </c>
      <c r="I58" s="14">
        <v>2012</v>
      </c>
      <c r="J58" s="201">
        <v>119057</v>
      </c>
      <c r="K58" s="201">
        <v>25804</v>
      </c>
      <c r="L58" s="226">
        <f>INDEX($C$29:$Y$29,MATCH('Ships-Cal'!I58,'Ships-Cal'!$C$22:$Y$22,0))/1000</f>
        <v>1108538.27</v>
      </c>
      <c r="M58" s="206">
        <f t="shared" si="20"/>
        <v>9406787.5691992585</v>
      </c>
      <c r="N58" s="201">
        <f t="shared" si="17"/>
        <v>1227595.27</v>
      </c>
      <c r="O58" s="206">
        <f t="shared" si="18"/>
        <v>9432591.5691992585</v>
      </c>
      <c r="P58" s="201">
        <f>'Air-Cal'!D26/1000*'Air-Cal'!O42</f>
        <v>2556.5602640995053</v>
      </c>
      <c r="Q58" s="208">
        <f>'Air-Cal'!E26/10^6*'Air-Cal'!O42</f>
        <v>11537.902125722336</v>
      </c>
      <c r="R58" s="201">
        <f t="shared" si="19"/>
        <v>9444129.4713249803</v>
      </c>
      <c r="S58" s="207">
        <f t="shared" si="21"/>
        <v>8.4857580687757928</v>
      </c>
    </row>
    <row r="59" spans="1:19">
      <c r="A59" s="218">
        <v>2013</v>
      </c>
      <c r="B59" s="199">
        <v>16063</v>
      </c>
      <c r="C59" s="199">
        <v>1012</v>
      </c>
      <c r="D59" s="199">
        <v>2737</v>
      </c>
      <c r="E59" s="227">
        <f>1088531084/10^6</f>
        <v>1088.531084</v>
      </c>
      <c r="F59" s="199">
        <f t="shared" si="15"/>
        <v>18800</v>
      </c>
      <c r="G59" s="199">
        <f t="shared" si="16"/>
        <v>2100.5310840000002</v>
      </c>
      <c r="I59" s="14">
        <v>2013</v>
      </c>
      <c r="J59" s="201">
        <v>117860</v>
      </c>
      <c r="K59" s="201">
        <v>30476</v>
      </c>
      <c r="L59" s="226">
        <f>INDEX($C$29:$Y$29,MATCH('Ships-Cal'!I59,'Ships-Cal'!$C$22:$Y$22,0))/1000</f>
        <v>1123205.0549999999</v>
      </c>
      <c r="M59" s="206">
        <f t="shared" si="20"/>
        <v>9531246.3583560083</v>
      </c>
      <c r="N59" s="201">
        <f t="shared" si="17"/>
        <v>1241065.0549999999</v>
      </c>
      <c r="O59" s="206">
        <f t="shared" si="18"/>
        <v>9561722.3583560083</v>
      </c>
      <c r="P59" s="201">
        <f>'Air-Cal'!D27/1000*'Air-Cal'!O43</f>
        <v>2569.1501258761564</v>
      </c>
      <c r="Q59" s="208">
        <f>'Air-Cal'!E27/10^6*'Air-Cal'!O43</f>
        <v>11496.428309523988</v>
      </c>
      <c r="R59" s="201">
        <f t="shared" si="19"/>
        <v>9573218.7866655327</v>
      </c>
      <c r="S59" s="207">
        <f t="shared" si="21"/>
        <v>8.4857580687757928</v>
      </c>
    </row>
    <row r="60" spans="1:19">
      <c r="A60" s="218">
        <v>2014</v>
      </c>
      <c r="B60" s="199">
        <v>14271</v>
      </c>
      <c r="C60" s="199">
        <v>756</v>
      </c>
      <c r="D60" s="199">
        <v>2646</v>
      </c>
      <c r="E60" s="227">
        <f>1086021774/10^6</f>
        <v>1086.0217740000001</v>
      </c>
      <c r="F60" s="199">
        <f t="shared" si="15"/>
        <v>16917</v>
      </c>
      <c r="G60" s="199">
        <f t="shared" si="16"/>
        <v>1842.0217740000001</v>
      </c>
      <c r="I60" s="14">
        <v>2014</v>
      </c>
      <c r="J60" s="201">
        <v>117920</v>
      </c>
      <c r="K60" s="201">
        <v>29900</v>
      </c>
      <c r="L60" s="226">
        <f>INDEX($C$29:$Y$29,MATCH('Ships-Cal'!I60,'Ships-Cal'!$C$22:$Y$22,0))/1000</f>
        <v>1184641.1939999999</v>
      </c>
      <c r="M60" s="206">
        <f t="shared" si="20"/>
        <v>10052578.570589688</v>
      </c>
      <c r="N60" s="201">
        <f t="shared" si="17"/>
        <v>1302561.1939999999</v>
      </c>
      <c r="O60" s="206">
        <f t="shared" si="18"/>
        <v>10082478.570589688</v>
      </c>
      <c r="P60" s="201">
        <f>'Air-Cal'!D28/1000*'Air-Cal'!O44</f>
        <v>2658.4822802971526</v>
      </c>
      <c r="Q60" s="208">
        <f>'Air-Cal'!E28/10^6*'Air-Cal'!O44</f>
        <v>11855.58899547438</v>
      </c>
      <c r="R60" s="201">
        <f t="shared" si="19"/>
        <v>10094334.159585161</v>
      </c>
      <c r="S60" s="207">
        <f t="shared" si="21"/>
        <v>8.4857580687757928</v>
      </c>
    </row>
    <row r="61" spans="1:19">
      <c r="A61" s="218">
        <v>2015</v>
      </c>
      <c r="B61" s="199">
        <v>15381</v>
      </c>
      <c r="C61" s="199">
        <v>757</v>
      </c>
      <c r="D61" s="199">
        <v>2617</v>
      </c>
      <c r="E61" s="219">
        <f>TREND($E$56:$E$60,$A$56:$A$60,A61)</f>
        <v>1085.2829612000023</v>
      </c>
      <c r="F61" s="199">
        <f t="shared" si="15"/>
        <v>17998</v>
      </c>
      <c r="G61" s="199">
        <f t="shared" si="16"/>
        <v>1842.2829612000023</v>
      </c>
      <c r="I61" s="14">
        <v>2015</v>
      </c>
      <c r="J61" s="201">
        <v>128611</v>
      </c>
      <c r="K61" s="201">
        <v>31841</v>
      </c>
      <c r="L61" s="226">
        <f>INDEX($C$29:$Y$29,MATCH('Ships-Cal'!I61,'Ships-Cal'!$C$22:$Y$22,0))/1000</f>
        <v>1216781.726</v>
      </c>
      <c r="M61" s="206">
        <f t="shared" si="20"/>
        <v>10325315.349343436</v>
      </c>
      <c r="N61" s="201">
        <f t="shared" si="17"/>
        <v>1345392.726</v>
      </c>
      <c r="O61" s="206">
        <f t="shared" si="18"/>
        <v>10357156.349343436</v>
      </c>
      <c r="P61" s="201">
        <f>'Air-Cal'!D29/1000*'Air-Cal'!O45</f>
        <v>2733.0917179964963</v>
      </c>
      <c r="Q61" s="208">
        <f>'Air-Cal'!E29/10^6*'Air-Cal'!O45</f>
        <v>12048.322875334659</v>
      </c>
      <c r="R61" s="201">
        <f t="shared" si="19"/>
        <v>10369204.67221877</v>
      </c>
      <c r="S61" s="207">
        <f t="shared" si="21"/>
        <v>8.4857580687757928</v>
      </c>
    </row>
    <row r="62" spans="1:19">
      <c r="A62" s="218">
        <v>2016</v>
      </c>
      <c r="B62" s="199">
        <v>15423</v>
      </c>
      <c r="C62" s="199">
        <v>839</v>
      </c>
      <c r="D62" s="199">
        <v>2777</v>
      </c>
      <c r="E62" s="219">
        <f t="shared" ref="E62:E65" si="22">TREND($E$56:$E$60,$A$56:$A$60,A62)</f>
        <v>1071.7404244000027</v>
      </c>
      <c r="F62" s="199">
        <f t="shared" si="15"/>
        <v>18200</v>
      </c>
      <c r="G62" s="199">
        <f t="shared" si="16"/>
        <v>1910.7404244000027</v>
      </c>
      <c r="I62" s="14">
        <v>2016</v>
      </c>
      <c r="J62" s="201">
        <v>143227</v>
      </c>
      <c r="K62" s="201">
        <v>37036</v>
      </c>
      <c r="L62" s="226">
        <f>INDEX($C$29:$Y$29,MATCH('Ships-Cal'!I62,'Ships-Cal'!$C$22:$Y$22,0))/1000</f>
        <v>1242597.061</v>
      </c>
      <c r="M62" s="206">
        <f t="shared" si="20"/>
        <v>10544378.036617836</v>
      </c>
      <c r="N62" s="201">
        <f t="shared" si="17"/>
        <v>1385824.061</v>
      </c>
      <c r="O62" s="206">
        <f t="shared" si="18"/>
        <v>10581414.036617836</v>
      </c>
      <c r="P62" s="201">
        <f>'Air-Cal'!D30/1000*'Air-Cal'!O46</f>
        <v>2886.1347837306967</v>
      </c>
      <c r="Q62" s="208">
        <f>'Air-Cal'!E30/10^6*'Air-Cal'!O46</f>
        <v>12381.935417190813</v>
      </c>
      <c r="R62" s="201">
        <f t="shared" si="19"/>
        <v>10593795.972035026</v>
      </c>
      <c r="S62" s="207">
        <f t="shared" si="21"/>
        <v>8.4857580687757928</v>
      </c>
    </row>
    <row r="63" spans="1:19">
      <c r="A63" s="218">
        <v>2017</v>
      </c>
      <c r="B63" s="199">
        <f>D3/1000</f>
        <v>16909.861000000001</v>
      </c>
      <c r="C63" s="199">
        <f>D5/10^6</f>
        <v>915.66880900000001</v>
      </c>
      <c r="D63" s="199">
        <f>D7/1000</f>
        <v>2728.1469999999999</v>
      </c>
      <c r="E63" s="219">
        <f t="shared" si="22"/>
        <v>1058.197887600003</v>
      </c>
      <c r="F63" s="199">
        <f t="shared" si="15"/>
        <v>19638.008000000002</v>
      </c>
      <c r="G63" s="199">
        <f t="shared" si="16"/>
        <v>1973.866696600003</v>
      </c>
      <c r="I63" s="14">
        <v>2017</v>
      </c>
      <c r="J63" s="201">
        <v>142587</v>
      </c>
      <c r="K63" s="208">
        <v>33855</v>
      </c>
      <c r="L63" s="226">
        <f>INDEX($C$29:$Y$29,MATCH('Ships-Cal'!I63,'Ships-Cal'!$C$22:$Y$22,0))/1000</f>
        <v>1312489.4739999999</v>
      </c>
      <c r="M63" s="206">
        <f t="shared" si="20"/>
        <v>11137468.144178795</v>
      </c>
      <c r="N63" s="201">
        <f t="shared" ref="N63:N65" si="23">SUM(J63,L63)</f>
        <v>1455076.4739999999</v>
      </c>
      <c r="O63" s="206">
        <f t="shared" ref="O63:O65" si="24">SUM(K63,M63)</f>
        <v>11171323.144178795</v>
      </c>
      <c r="P63" s="201">
        <f>'Air-Cal'!D31/1000*'Air-Cal'!O47</f>
        <v>3031.848</v>
      </c>
      <c r="Q63" s="208">
        <f>'Air-Cal'!E31/10^6*'Air-Cal'!O47</f>
        <v>13241.995393256939</v>
      </c>
      <c r="R63" s="201">
        <f t="shared" si="19"/>
        <v>11184565.139572052</v>
      </c>
      <c r="S63" s="207">
        <f t="shared" si="21"/>
        <v>8.4857580687757928</v>
      </c>
    </row>
    <row r="64" spans="1:19">
      <c r="A64" s="218">
        <v>2018</v>
      </c>
      <c r="B64" s="199">
        <f>E3/1000</f>
        <v>14625.484</v>
      </c>
      <c r="C64" s="199">
        <f>E5/10^6</f>
        <v>822.23360700000001</v>
      </c>
      <c r="D64" s="219">
        <f>TREND($D$59:$D$63,$A$59:$A$63,A64)</f>
        <v>2735.0176000000029</v>
      </c>
      <c r="E64" s="219">
        <f t="shared" si="22"/>
        <v>1044.6553508000034</v>
      </c>
      <c r="F64" s="199">
        <f t="shared" si="15"/>
        <v>17360.501600000003</v>
      </c>
      <c r="G64" s="199">
        <f t="shared" si="16"/>
        <v>1866.8889578000035</v>
      </c>
      <c r="I64" s="14">
        <v>2018</v>
      </c>
      <c r="J64" s="208">
        <f>TREND($J$59:$J$63,$I$59:$I$63,I64)</f>
        <v>152469.30000000075</v>
      </c>
      <c r="K64" s="208">
        <v>28282</v>
      </c>
      <c r="L64" s="208">
        <v>1405925</v>
      </c>
      <c r="M64" s="206">
        <f t="shared" si="20"/>
        <v>11930339.412843606</v>
      </c>
      <c r="N64" s="201">
        <f t="shared" si="23"/>
        <v>1558394.3000000007</v>
      </c>
      <c r="O64" s="206">
        <f t="shared" si="24"/>
        <v>11958621.412843606</v>
      </c>
      <c r="P64" s="201">
        <f>'Air-Cal'!D32/1000*'Air-Cal'!O48</f>
        <v>3069.9330309076927</v>
      </c>
      <c r="Q64" s="208">
        <f>'Air-Cal'!E32/10^6*'Air-Cal'!O48</f>
        <v>13440.714235637673</v>
      </c>
      <c r="R64" s="201">
        <f t="shared" si="19"/>
        <v>11972062.127079243</v>
      </c>
      <c r="S64" s="207">
        <f t="shared" si="21"/>
        <v>8.4857580687757928</v>
      </c>
    </row>
    <row r="65" spans="1:21">
      <c r="A65" s="218">
        <v>2019</v>
      </c>
      <c r="B65" s="219">
        <f>TREND($B$60:$B$64,$A$60:$A$64,A65)</f>
        <v>15993.417699999991</v>
      </c>
      <c r="C65" s="219">
        <f>TREND($C$60:$C$64,$B$60:$B$64,B65)</f>
        <v>853.10778614210824</v>
      </c>
      <c r="D65" s="219">
        <f>TREND($D$59:$D$63,$A$59:$A$63,A65)</f>
        <v>2746.3470000000016</v>
      </c>
      <c r="E65" s="219">
        <f t="shared" si="22"/>
        <v>1031.1128140000037</v>
      </c>
      <c r="F65" s="199">
        <f t="shared" si="15"/>
        <v>18739.764699999992</v>
      </c>
      <c r="G65" s="199">
        <f t="shared" si="16"/>
        <v>1884.2206001421118</v>
      </c>
      <c r="I65" s="14">
        <v>2019</v>
      </c>
      <c r="J65" s="206">
        <f>TREND($J$60:$J$64,$I$60:$I$64,I65)</f>
        <v>161885.24000000022</v>
      </c>
      <c r="K65" s="206">
        <f>TREND($K$60:$K$64,$I$60:$I$64,I65)</f>
        <v>31816.200000000012</v>
      </c>
      <c r="L65" s="206">
        <f>TREND($L$60:$L$64,$I$60:$I$64,I65)</f>
        <v>1433969.498999998</v>
      </c>
      <c r="M65" s="206">
        <f t="shared" si="20"/>
        <v>12168318.246517614</v>
      </c>
      <c r="N65" s="201">
        <f t="shared" si="23"/>
        <v>1595854.7389999982</v>
      </c>
      <c r="O65" s="206">
        <f t="shared" si="24"/>
        <v>12200134.446517613</v>
      </c>
      <c r="P65" s="201">
        <f>'Air-Cal'!D33/1000*'Air-Cal'!O49</f>
        <v>2885.2939999999994</v>
      </c>
      <c r="Q65" s="208">
        <f>'Air-Cal'!E33/10^6*'Air-Cal'!O49</f>
        <v>12356.17071117976</v>
      </c>
      <c r="R65" s="201">
        <f t="shared" si="19"/>
        <v>12212490.617228793</v>
      </c>
      <c r="S65" s="207">
        <f t="shared" si="21"/>
        <v>8.4857580687757928</v>
      </c>
    </row>
    <row r="66" spans="1:21">
      <c r="P66" s="130"/>
    </row>
    <row r="67" spans="1:21">
      <c r="B67" s="176"/>
      <c r="C67" s="129" t="s">
        <v>460</v>
      </c>
      <c r="D67" s="129" t="s">
        <v>461</v>
      </c>
      <c r="H67" s="129"/>
      <c r="U67" s="204"/>
    </row>
    <row r="68" spans="1:21">
      <c r="B68" s="146" t="s">
        <v>284</v>
      </c>
      <c r="C68" s="129">
        <f>'Air-Cal'!D32/1000</f>
        <v>4441.9750000000004</v>
      </c>
      <c r="D68" s="129">
        <f>INDEX('Air-Cal'!$E$3:$E$34,MATCH(About!$B$62,'Air-Cal'!$A$3:$A$34,0))</f>
        <v>18306326147</v>
      </c>
      <c r="H68" s="129"/>
    </row>
    <row r="69" spans="1:21">
      <c r="B69" s="146" t="s">
        <v>286</v>
      </c>
      <c r="C69" s="129">
        <f>INDEX($N$36:$N$65,MATCH(About!$B$62,'Ships-Cal'!$I$36:$I$65,0))</f>
        <v>1595854.7389999982</v>
      </c>
      <c r="D69" s="177">
        <f>INDEX($O$36:$O$65,MATCH(About!$B$62,'Ships-Cal'!$I$36:$I$65,0))*10^6</f>
        <v>12200134446517.613</v>
      </c>
      <c r="F69" s="161"/>
    </row>
    <row r="70" spans="1:21">
      <c r="B70" s="203"/>
      <c r="C70" s="129"/>
      <c r="D70" s="177"/>
    </row>
    <row r="71" spans="1:21">
      <c r="B71" s="174" t="s">
        <v>413</v>
      </c>
      <c r="C71" s="151"/>
    </row>
    <row r="72" spans="1:21">
      <c r="B72" s="447" t="s">
        <v>321</v>
      </c>
      <c r="C72" s="162" t="s">
        <v>439</v>
      </c>
      <c r="D72" s="162" t="s">
        <v>440</v>
      </c>
      <c r="E72" s="162" t="s">
        <v>441</v>
      </c>
      <c r="F72" s="162" t="s">
        <v>236</v>
      </c>
      <c r="G72" s="162" t="s">
        <v>237</v>
      </c>
      <c r="H72" s="162" t="s">
        <v>319</v>
      </c>
    </row>
    <row r="73" spans="1:21">
      <c r="B73" s="448"/>
      <c r="C73" s="169">
        <f>INDEX($F$36:$F$65,MATCH(About!$B$62,$A$36:$A$65,0))*10^3</f>
        <v>18739764.699999992</v>
      </c>
      <c r="D73" s="169">
        <f>INDEX($G$36:$G$65,MATCH(About!$B$62,$A$36:$A$65,0))*10^6</f>
        <v>1884220600.1421118</v>
      </c>
      <c r="E73" s="373">
        <f>'AVLo-passenger'!B6</f>
        <v>337.61417769892506</v>
      </c>
      <c r="F73" s="169">
        <f>D73/SUM(SYVbT_passenger!B6:H6)</f>
        <v>5732772.9268822484</v>
      </c>
      <c r="G73" s="169">
        <f>F73*About!$B$64</f>
        <v>3562178.8463497497</v>
      </c>
      <c r="H73" s="170">
        <f>G73/E73</f>
        <v>10551.03452890655</v>
      </c>
    </row>
    <row r="75" spans="1:21">
      <c r="B75" s="447" t="s">
        <v>322</v>
      </c>
      <c r="C75" s="162" t="s">
        <v>432</v>
      </c>
      <c r="D75" s="162" t="s">
        <v>438</v>
      </c>
      <c r="E75" s="162" t="s">
        <v>442</v>
      </c>
      <c r="F75" s="162" t="s">
        <v>431</v>
      </c>
      <c r="G75" s="162" t="s">
        <v>430</v>
      </c>
      <c r="H75" s="162" t="s">
        <v>319</v>
      </c>
    </row>
    <row r="76" spans="1:21">
      <c r="B76" s="448"/>
      <c r="C76" s="163">
        <f>INDEX($N$36:$N$65,MATCH(About!$B$62,$I$36:$I$65,0))*10^3</f>
        <v>1595854738.9999981</v>
      </c>
      <c r="D76" s="163">
        <f>INDEX($O$36:$O$65,MATCH(About!$B$62,$I$36:$I$65,0))*10^6</f>
        <v>12200134446517.613</v>
      </c>
      <c r="E76" s="175">
        <f>'Air-Cal'!L7*(C69/C68)</f>
        <v>22833.86588020801</v>
      </c>
      <c r="F76" s="163">
        <f>$D76/SUM(SYVbT_freight!$B$6:$H$6)</f>
        <v>8671026614.4403782</v>
      </c>
      <c r="G76" s="163">
        <f>$F76*About!$B$64</f>
        <v>5387924478.441432</v>
      </c>
      <c r="H76" s="164">
        <f>$G76/$E76</f>
        <v>235961.99201255664</v>
      </c>
    </row>
    <row r="77" spans="1:21">
      <c r="C77" s="199"/>
      <c r="D77" s="199"/>
      <c r="E77" s="202"/>
      <c r="F77" s="202"/>
      <c r="G77" s="202"/>
      <c r="H77" s="202"/>
    </row>
    <row r="78" spans="1:21">
      <c r="A78" s="150" t="s">
        <v>620</v>
      </c>
    </row>
    <row r="79" spans="1:21">
      <c r="A79" s="210" t="s">
        <v>614</v>
      </c>
    </row>
    <row r="80" spans="1:21">
      <c r="A80" s="374" t="s">
        <v>1023</v>
      </c>
    </row>
    <row r="82" spans="1:2">
      <c r="A82" s="150"/>
      <c r="B82" s="161"/>
    </row>
  </sheetData>
  <mergeCells count="12">
    <mergeCell ref="A31:A32"/>
    <mergeCell ref="A23:A27"/>
    <mergeCell ref="A28:A30"/>
    <mergeCell ref="B72:B73"/>
    <mergeCell ref="B75:B76"/>
    <mergeCell ref="P34:Q34"/>
    <mergeCell ref="L34:M34"/>
    <mergeCell ref="N34:O34"/>
    <mergeCell ref="B34:C34"/>
    <mergeCell ref="D34:E34"/>
    <mergeCell ref="F34:G34"/>
    <mergeCell ref="J34:K34"/>
  </mergeCells>
  <phoneticPr fontId="42" type="noConversion"/>
  <pageMargins left="0.7" right="0.7" top="0.75" bottom="0.75" header="0.3" footer="0.3"/>
  <pageSetup paperSize="9" orientation="portrait" horizontalDpi="4294967292" r:id="rId1"/>
  <ignoredErrors>
    <ignoredError sqref="N23:Y30" formulaRange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9"/>
  <sheetViews>
    <sheetView workbookViewId="0">
      <selection activeCell="B6" sqref="B6"/>
    </sheetView>
  </sheetViews>
  <sheetFormatPr defaultColWidth="9.125" defaultRowHeight="16.5"/>
  <cols>
    <col min="1" max="1" width="16.625" style="10" customWidth="1"/>
    <col min="2" max="2" width="9" style="10" customWidth="1"/>
    <col min="3" max="3" width="10.5" style="10" bestFit="1" customWidth="1"/>
    <col min="4" max="16384" width="9.125" style="10"/>
  </cols>
  <sheetData>
    <row r="1" spans="1:34" ht="33">
      <c r="A1" s="8" t="s">
        <v>9</v>
      </c>
      <c r="B1" s="4">
        <v>2018</v>
      </c>
      <c r="C1" s="4">
        <v>2019</v>
      </c>
      <c r="D1" s="4">
        <v>2020</v>
      </c>
      <c r="E1" s="4">
        <v>2021</v>
      </c>
      <c r="F1" s="4">
        <v>2022</v>
      </c>
      <c r="G1" s="4">
        <v>2023</v>
      </c>
      <c r="H1" s="4">
        <v>2024</v>
      </c>
      <c r="I1" s="4">
        <v>2025</v>
      </c>
      <c r="J1" s="4">
        <v>2026</v>
      </c>
      <c r="K1" s="4">
        <v>2027</v>
      </c>
      <c r="L1" s="4">
        <v>2028</v>
      </c>
      <c r="M1" s="4">
        <v>2029</v>
      </c>
      <c r="N1" s="4">
        <v>2030</v>
      </c>
      <c r="O1" s="4">
        <v>2031</v>
      </c>
      <c r="P1" s="4">
        <v>2032</v>
      </c>
      <c r="Q1" s="4">
        <v>2033</v>
      </c>
      <c r="R1" s="4">
        <v>2034</v>
      </c>
      <c r="S1" s="4">
        <v>2035</v>
      </c>
      <c r="T1" s="4">
        <v>2036</v>
      </c>
      <c r="U1" s="4">
        <v>2037</v>
      </c>
      <c r="V1" s="4">
        <v>2038</v>
      </c>
      <c r="W1" s="4">
        <v>2039</v>
      </c>
      <c r="X1" s="4">
        <v>2040</v>
      </c>
      <c r="Y1" s="4">
        <v>2041</v>
      </c>
      <c r="Z1" s="4">
        <v>2042</v>
      </c>
      <c r="AA1" s="4">
        <v>2043</v>
      </c>
      <c r="AB1" s="4">
        <v>2044</v>
      </c>
      <c r="AC1" s="4">
        <v>2045</v>
      </c>
      <c r="AD1" s="4">
        <v>2046</v>
      </c>
      <c r="AE1" s="4">
        <v>2047</v>
      </c>
      <c r="AF1" s="4">
        <v>2048</v>
      </c>
      <c r="AG1" s="4">
        <v>2049</v>
      </c>
      <c r="AH1" s="4">
        <v>2050</v>
      </c>
    </row>
    <row r="2" spans="1:34">
      <c r="A2" s="10" t="s">
        <v>1</v>
      </c>
      <c r="B2" s="11">
        <f t="shared" ref="B2:B7" si="0">C2</f>
        <v>7645.3386159425945</v>
      </c>
      <c r="C2" s="11">
        <f>'DV-Cal'!S4</f>
        <v>7645.3386159425945</v>
      </c>
      <c r="D2" s="11">
        <f>$C$2</f>
        <v>7645.3386159425945</v>
      </c>
      <c r="E2" s="11">
        <f t="shared" ref="E2:AH2" si="1">$C$2</f>
        <v>7645.3386159425945</v>
      </c>
      <c r="F2" s="11">
        <f t="shared" si="1"/>
        <v>7645.3386159425945</v>
      </c>
      <c r="G2" s="11">
        <f t="shared" si="1"/>
        <v>7645.3386159425945</v>
      </c>
      <c r="H2" s="11">
        <f t="shared" si="1"/>
        <v>7645.3386159425945</v>
      </c>
      <c r="I2" s="11">
        <f t="shared" si="1"/>
        <v>7645.3386159425945</v>
      </c>
      <c r="J2" s="11">
        <f t="shared" si="1"/>
        <v>7645.3386159425945</v>
      </c>
      <c r="K2" s="11">
        <f t="shared" si="1"/>
        <v>7645.3386159425945</v>
      </c>
      <c r="L2" s="11">
        <f t="shared" si="1"/>
        <v>7645.3386159425945</v>
      </c>
      <c r="M2" s="11">
        <f t="shared" si="1"/>
        <v>7645.3386159425945</v>
      </c>
      <c r="N2" s="11">
        <f t="shared" si="1"/>
        <v>7645.3386159425945</v>
      </c>
      <c r="O2" s="11">
        <f t="shared" si="1"/>
        <v>7645.3386159425945</v>
      </c>
      <c r="P2" s="11">
        <f t="shared" si="1"/>
        <v>7645.3386159425945</v>
      </c>
      <c r="Q2" s="11">
        <f t="shared" si="1"/>
        <v>7645.3386159425945</v>
      </c>
      <c r="R2" s="11">
        <f t="shared" si="1"/>
        <v>7645.3386159425945</v>
      </c>
      <c r="S2" s="11">
        <f t="shared" si="1"/>
        <v>7645.3386159425945</v>
      </c>
      <c r="T2" s="11">
        <f t="shared" si="1"/>
        <v>7645.3386159425945</v>
      </c>
      <c r="U2" s="11">
        <f t="shared" si="1"/>
        <v>7645.3386159425945</v>
      </c>
      <c r="V2" s="11">
        <f t="shared" si="1"/>
        <v>7645.3386159425945</v>
      </c>
      <c r="W2" s="11">
        <f t="shared" si="1"/>
        <v>7645.3386159425945</v>
      </c>
      <c r="X2" s="11">
        <f t="shared" si="1"/>
        <v>7645.3386159425945</v>
      </c>
      <c r="Y2" s="11">
        <f t="shared" si="1"/>
        <v>7645.3386159425945</v>
      </c>
      <c r="Z2" s="11">
        <f t="shared" si="1"/>
        <v>7645.3386159425945</v>
      </c>
      <c r="AA2" s="11">
        <f t="shared" si="1"/>
        <v>7645.3386159425945</v>
      </c>
      <c r="AB2" s="11">
        <f t="shared" si="1"/>
        <v>7645.3386159425945</v>
      </c>
      <c r="AC2" s="11">
        <f t="shared" si="1"/>
        <v>7645.3386159425945</v>
      </c>
      <c r="AD2" s="11">
        <f t="shared" si="1"/>
        <v>7645.3386159425945</v>
      </c>
      <c r="AE2" s="11">
        <f t="shared" si="1"/>
        <v>7645.3386159425945</v>
      </c>
      <c r="AF2" s="11">
        <f t="shared" si="1"/>
        <v>7645.3386159425945</v>
      </c>
      <c r="AG2" s="11">
        <f t="shared" si="1"/>
        <v>7645.3386159425945</v>
      </c>
      <c r="AH2" s="11">
        <f t="shared" si="1"/>
        <v>7645.3386159425945</v>
      </c>
    </row>
    <row r="3" spans="1:34">
      <c r="A3" s="10" t="s">
        <v>2</v>
      </c>
      <c r="B3" s="11">
        <f t="shared" si="0"/>
        <v>9323.117790227654</v>
      </c>
      <c r="C3" s="11">
        <f>'DV-Cal'!S7</f>
        <v>9323.117790227654</v>
      </c>
      <c r="D3" s="11">
        <f>$C$3</f>
        <v>9323.117790227654</v>
      </c>
      <c r="E3" s="11">
        <f t="shared" ref="E3:AH3" si="2">$C$3</f>
        <v>9323.117790227654</v>
      </c>
      <c r="F3" s="11">
        <f t="shared" si="2"/>
        <v>9323.117790227654</v>
      </c>
      <c r="G3" s="11">
        <f t="shared" si="2"/>
        <v>9323.117790227654</v>
      </c>
      <c r="H3" s="11">
        <f t="shared" si="2"/>
        <v>9323.117790227654</v>
      </c>
      <c r="I3" s="11">
        <f t="shared" si="2"/>
        <v>9323.117790227654</v>
      </c>
      <c r="J3" s="11">
        <f t="shared" si="2"/>
        <v>9323.117790227654</v>
      </c>
      <c r="K3" s="11">
        <f t="shared" si="2"/>
        <v>9323.117790227654</v>
      </c>
      <c r="L3" s="11">
        <f t="shared" si="2"/>
        <v>9323.117790227654</v>
      </c>
      <c r="M3" s="11">
        <f t="shared" si="2"/>
        <v>9323.117790227654</v>
      </c>
      <c r="N3" s="11">
        <f t="shared" si="2"/>
        <v>9323.117790227654</v>
      </c>
      <c r="O3" s="11">
        <f t="shared" si="2"/>
        <v>9323.117790227654</v>
      </c>
      <c r="P3" s="11">
        <f t="shared" si="2"/>
        <v>9323.117790227654</v>
      </c>
      <c r="Q3" s="11">
        <f t="shared" si="2"/>
        <v>9323.117790227654</v>
      </c>
      <c r="R3" s="11">
        <f t="shared" si="2"/>
        <v>9323.117790227654</v>
      </c>
      <c r="S3" s="11">
        <f t="shared" si="2"/>
        <v>9323.117790227654</v>
      </c>
      <c r="T3" s="11">
        <f t="shared" si="2"/>
        <v>9323.117790227654</v>
      </c>
      <c r="U3" s="11">
        <f t="shared" si="2"/>
        <v>9323.117790227654</v>
      </c>
      <c r="V3" s="11">
        <f t="shared" si="2"/>
        <v>9323.117790227654</v>
      </c>
      <c r="W3" s="11">
        <f t="shared" si="2"/>
        <v>9323.117790227654</v>
      </c>
      <c r="X3" s="11">
        <f t="shared" si="2"/>
        <v>9323.117790227654</v>
      </c>
      <c r="Y3" s="11">
        <f t="shared" si="2"/>
        <v>9323.117790227654</v>
      </c>
      <c r="Z3" s="11">
        <f t="shared" si="2"/>
        <v>9323.117790227654</v>
      </c>
      <c r="AA3" s="11">
        <f t="shared" si="2"/>
        <v>9323.117790227654</v>
      </c>
      <c r="AB3" s="11">
        <f t="shared" si="2"/>
        <v>9323.117790227654</v>
      </c>
      <c r="AC3" s="11">
        <f t="shared" si="2"/>
        <v>9323.117790227654</v>
      </c>
      <c r="AD3" s="11">
        <f t="shared" si="2"/>
        <v>9323.117790227654</v>
      </c>
      <c r="AE3" s="11">
        <f t="shared" si="2"/>
        <v>9323.117790227654</v>
      </c>
      <c r="AF3" s="11">
        <f t="shared" si="2"/>
        <v>9323.117790227654</v>
      </c>
      <c r="AG3" s="11">
        <f t="shared" si="2"/>
        <v>9323.117790227654</v>
      </c>
      <c r="AH3" s="11">
        <f t="shared" si="2"/>
        <v>9323.117790227654</v>
      </c>
    </row>
    <row r="4" spans="1:34">
      <c r="A4" s="10" t="s">
        <v>3</v>
      </c>
      <c r="B4" s="11">
        <f t="shared" si="0"/>
        <v>975636.50086239318</v>
      </c>
      <c r="C4" s="11">
        <f>'Air-Cal'!O4</f>
        <v>975636.50086239318</v>
      </c>
      <c r="D4" s="11">
        <f>$C$4</f>
        <v>975636.50086239318</v>
      </c>
      <c r="E4" s="11">
        <f t="shared" ref="E4:AH4" si="3">$C$4</f>
        <v>975636.50086239318</v>
      </c>
      <c r="F4" s="11">
        <f t="shared" si="3"/>
        <v>975636.50086239318</v>
      </c>
      <c r="G4" s="11">
        <f t="shared" si="3"/>
        <v>975636.50086239318</v>
      </c>
      <c r="H4" s="11">
        <f t="shared" si="3"/>
        <v>975636.50086239318</v>
      </c>
      <c r="I4" s="11">
        <f t="shared" si="3"/>
        <v>975636.50086239318</v>
      </c>
      <c r="J4" s="11">
        <f t="shared" si="3"/>
        <v>975636.50086239318</v>
      </c>
      <c r="K4" s="11">
        <f t="shared" si="3"/>
        <v>975636.50086239318</v>
      </c>
      <c r="L4" s="11">
        <f t="shared" si="3"/>
        <v>975636.50086239318</v>
      </c>
      <c r="M4" s="11">
        <f t="shared" si="3"/>
        <v>975636.50086239318</v>
      </c>
      <c r="N4" s="11">
        <f t="shared" si="3"/>
        <v>975636.50086239318</v>
      </c>
      <c r="O4" s="11">
        <f t="shared" si="3"/>
        <v>975636.50086239318</v>
      </c>
      <c r="P4" s="11">
        <f t="shared" si="3"/>
        <v>975636.50086239318</v>
      </c>
      <c r="Q4" s="11">
        <f t="shared" si="3"/>
        <v>975636.50086239318</v>
      </c>
      <c r="R4" s="11">
        <f t="shared" si="3"/>
        <v>975636.50086239318</v>
      </c>
      <c r="S4" s="11">
        <f t="shared" si="3"/>
        <v>975636.50086239318</v>
      </c>
      <c r="T4" s="11">
        <f t="shared" si="3"/>
        <v>975636.50086239318</v>
      </c>
      <c r="U4" s="11">
        <f t="shared" si="3"/>
        <v>975636.50086239318</v>
      </c>
      <c r="V4" s="11">
        <f t="shared" si="3"/>
        <v>975636.50086239318</v>
      </c>
      <c r="W4" s="11">
        <f t="shared" si="3"/>
        <v>975636.50086239318</v>
      </c>
      <c r="X4" s="11">
        <f t="shared" si="3"/>
        <v>975636.50086239318</v>
      </c>
      <c r="Y4" s="11">
        <f t="shared" si="3"/>
        <v>975636.50086239318</v>
      </c>
      <c r="Z4" s="11">
        <f t="shared" si="3"/>
        <v>975636.50086239318</v>
      </c>
      <c r="AA4" s="11">
        <f t="shared" si="3"/>
        <v>975636.50086239318</v>
      </c>
      <c r="AB4" s="11">
        <f t="shared" si="3"/>
        <v>975636.50086239318</v>
      </c>
      <c r="AC4" s="11">
        <f t="shared" si="3"/>
        <v>975636.50086239318</v>
      </c>
      <c r="AD4" s="11">
        <f t="shared" si="3"/>
        <v>975636.50086239318</v>
      </c>
      <c r="AE4" s="11">
        <f t="shared" si="3"/>
        <v>975636.50086239318</v>
      </c>
      <c r="AF4" s="11">
        <f t="shared" si="3"/>
        <v>975636.50086239318</v>
      </c>
      <c r="AG4" s="11">
        <f t="shared" si="3"/>
        <v>975636.50086239318</v>
      </c>
      <c r="AH4" s="11">
        <f t="shared" si="3"/>
        <v>975636.50086239318</v>
      </c>
    </row>
    <row r="5" spans="1:34">
      <c r="A5" s="10" t="s">
        <v>4</v>
      </c>
      <c r="B5" s="11">
        <f t="shared" si="0"/>
        <v>87253.894044860732</v>
      </c>
      <c r="C5" s="11">
        <f>'Rail-Cal'!$G$15</f>
        <v>87253.894044860732</v>
      </c>
      <c r="D5" s="11">
        <f>$C$5</f>
        <v>87253.894044860732</v>
      </c>
      <c r="E5" s="11">
        <f t="shared" ref="E5:AH5" si="4">$C$5</f>
        <v>87253.894044860732</v>
      </c>
      <c r="F5" s="11">
        <f t="shared" si="4"/>
        <v>87253.894044860732</v>
      </c>
      <c r="G5" s="11">
        <f t="shared" si="4"/>
        <v>87253.894044860732</v>
      </c>
      <c r="H5" s="11">
        <f t="shared" si="4"/>
        <v>87253.894044860732</v>
      </c>
      <c r="I5" s="11">
        <f t="shared" si="4"/>
        <v>87253.894044860732</v>
      </c>
      <c r="J5" s="11">
        <f t="shared" si="4"/>
        <v>87253.894044860732</v>
      </c>
      <c r="K5" s="11">
        <f t="shared" si="4"/>
        <v>87253.894044860732</v>
      </c>
      <c r="L5" s="11">
        <f t="shared" si="4"/>
        <v>87253.894044860732</v>
      </c>
      <c r="M5" s="11">
        <f t="shared" si="4"/>
        <v>87253.894044860732</v>
      </c>
      <c r="N5" s="11">
        <f t="shared" si="4"/>
        <v>87253.894044860732</v>
      </c>
      <c r="O5" s="11">
        <f t="shared" si="4"/>
        <v>87253.894044860732</v>
      </c>
      <c r="P5" s="11">
        <f t="shared" si="4"/>
        <v>87253.894044860732</v>
      </c>
      <c r="Q5" s="11">
        <f t="shared" si="4"/>
        <v>87253.894044860732</v>
      </c>
      <c r="R5" s="11">
        <f t="shared" si="4"/>
        <v>87253.894044860732</v>
      </c>
      <c r="S5" s="11">
        <f t="shared" si="4"/>
        <v>87253.894044860732</v>
      </c>
      <c r="T5" s="11">
        <f t="shared" si="4"/>
        <v>87253.894044860732</v>
      </c>
      <c r="U5" s="11">
        <f t="shared" si="4"/>
        <v>87253.894044860732</v>
      </c>
      <c r="V5" s="11">
        <f t="shared" si="4"/>
        <v>87253.894044860732</v>
      </c>
      <c r="W5" s="11">
        <f t="shared" si="4"/>
        <v>87253.894044860732</v>
      </c>
      <c r="X5" s="11">
        <f t="shared" si="4"/>
        <v>87253.894044860732</v>
      </c>
      <c r="Y5" s="11">
        <f t="shared" si="4"/>
        <v>87253.894044860732</v>
      </c>
      <c r="Z5" s="11">
        <f t="shared" si="4"/>
        <v>87253.894044860732</v>
      </c>
      <c r="AA5" s="11">
        <f t="shared" si="4"/>
        <v>87253.894044860732</v>
      </c>
      <c r="AB5" s="11">
        <f t="shared" si="4"/>
        <v>87253.894044860732</v>
      </c>
      <c r="AC5" s="11">
        <f t="shared" si="4"/>
        <v>87253.894044860732</v>
      </c>
      <c r="AD5" s="11">
        <f t="shared" si="4"/>
        <v>87253.894044860732</v>
      </c>
      <c r="AE5" s="11">
        <f t="shared" si="4"/>
        <v>87253.894044860732</v>
      </c>
      <c r="AF5" s="11">
        <f t="shared" si="4"/>
        <v>87253.894044860732</v>
      </c>
      <c r="AG5" s="11">
        <f t="shared" si="4"/>
        <v>87253.894044860732</v>
      </c>
      <c r="AH5" s="11">
        <f t="shared" si="4"/>
        <v>87253.894044860732</v>
      </c>
    </row>
    <row r="6" spans="1:34">
      <c r="A6" s="10" t="s">
        <v>5</v>
      </c>
      <c r="B6" s="11">
        <f t="shared" si="0"/>
        <v>10551.03452890655</v>
      </c>
      <c r="C6" s="11">
        <f>'Ships-Cal'!H73</f>
        <v>10551.03452890655</v>
      </c>
      <c r="D6" s="11">
        <f>$C$6</f>
        <v>10551.03452890655</v>
      </c>
      <c r="E6" s="11">
        <f t="shared" ref="E6:AH6" si="5">$C$6</f>
        <v>10551.03452890655</v>
      </c>
      <c r="F6" s="11">
        <f t="shared" si="5"/>
        <v>10551.03452890655</v>
      </c>
      <c r="G6" s="11">
        <f t="shared" si="5"/>
        <v>10551.03452890655</v>
      </c>
      <c r="H6" s="11">
        <f t="shared" si="5"/>
        <v>10551.03452890655</v>
      </c>
      <c r="I6" s="11">
        <f t="shared" si="5"/>
        <v>10551.03452890655</v>
      </c>
      <c r="J6" s="11">
        <f t="shared" si="5"/>
        <v>10551.03452890655</v>
      </c>
      <c r="K6" s="11">
        <f t="shared" si="5"/>
        <v>10551.03452890655</v>
      </c>
      <c r="L6" s="11">
        <f t="shared" si="5"/>
        <v>10551.03452890655</v>
      </c>
      <c r="M6" s="11">
        <f t="shared" si="5"/>
        <v>10551.03452890655</v>
      </c>
      <c r="N6" s="11">
        <f t="shared" si="5"/>
        <v>10551.03452890655</v>
      </c>
      <c r="O6" s="11">
        <f t="shared" si="5"/>
        <v>10551.03452890655</v>
      </c>
      <c r="P6" s="11">
        <f t="shared" si="5"/>
        <v>10551.03452890655</v>
      </c>
      <c r="Q6" s="11">
        <f t="shared" si="5"/>
        <v>10551.03452890655</v>
      </c>
      <c r="R6" s="11">
        <f t="shared" si="5"/>
        <v>10551.03452890655</v>
      </c>
      <c r="S6" s="11">
        <f t="shared" si="5"/>
        <v>10551.03452890655</v>
      </c>
      <c r="T6" s="11">
        <f t="shared" si="5"/>
        <v>10551.03452890655</v>
      </c>
      <c r="U6" s="11">
        <f t="shared" si="5"/>
        <v>10551.03452890655</v>
      </c>
      <c r="V6" s="11">
        <f t="shared" si="5"/>
        <v>10551.03452890655</v>
      </c>
      <c r="W6" s="11">
        <f t="shared" si="5"/>
        <v>10551.03452890655</v>
      </c>
      <c r="X6" s="11">
        <f t="shared" si="5"/>
        <v>10551.03452890655</v>
      </c>
      <c r="Y6" s="11">
        <f t="shared" si="5"/>
        <v>10551.03452890655</v>
      </c>
      <c r="Z6" s="11">
        <f t="shared" si="5"/>
        <v>10551.03452890655</v>
      </c>
      <c r="AA6" s="11">
        <f t="shared" si="5"/>
        <v>10551.03452890655</v>
      </c>
      <c r="AB6" s="11">
        <f t="shared" si="5"/>
        <v>10551.03452890655</v>
      </c>
      <c r="AC6" s="11">
        <f t="shared" si="5"/>
        <v>10551.03452890655</v>
      </c>
      <c r="AD6" s="11">
        <f t="shared" si="5"/>
        <v>10551.03452890655</v>
      </c>
      <c r="AE6" s="11">
        <f t="shared" si="5"/>
        <v>10551.03452890655</v>
      </c>
      <c r="AF6" s="11">
        <f t="shared" si="5"/>
        <v>10551.03452890655</v>
      </c>
      <c r="AG6" s="11">
        <f t="shared" si="5"/>
        <v>10551.03452890655</v>
      </c>
      <c r="AH6" s="11">
        <f t="shared" si="5"/>
        <v>10551.03452890655</v>
      </c>
    </row>
    <row r="7" spans="1:34">
      <c r="A7" s="10" t="s">
        <v>6</v>
      </c>
      <c r="B7" s="11">
        <f t="shared" si="0"/>
        <v>4543.5229764190408</v>
      </c>
      <c r="C7" s="11">
        <f>Motorbikes!$E$7*About!$B$64*365</f>
        <v>4543.5229764190408</v>
      </c>
      <c r="D7" s="11">
        <f t="shared" ref="D7:AH7" si="6">$B$7</f>
        <v>4543.5229764190408</v>
      </c>
      <c r="E7" s="11">
        <f t="shared" si="6"/>
        <v>4543.5229764190408</v>
      </c>
      <c r="F7" s="11">
        <f t="shared" si="6"/>
        <v>4543.5229764190408</v>
      </c>
      <c r="G7" s="11">
        <f t="shared" si="6"/>
        <v>4543.5229764190408</v>
      </c>
      <c r="H7" s="11">
        <f t="shared" si="6"/>
        <v>4543.5229764190408</v>
      </c>
      <c r="I7" s="11">
        <f t="shared" si="6"/>
        <v>4543.5229764190408</v>
      </c>
      <c r="J7" s="11">
        <f t="shared" si="6"/>
        <v>4543.5229764190408</v>
      </c>
      <c r="K7" s="11">
        <f t="shared" si="6"/>
        <v>4543.5229764190408</v>
      </c>
      <c r="L7" s="11">
        <f t="shared" si="6"/>
        <v>4543.5229764190408</v>
      </c>
      <c r="M7" s="11">
        <f t="shared" si="6"/>
        <v>4543.5229764190408</v>
      </c>
      <c r="N7" s="11">
        <f t="shared" si="6"/>
        <v>4543.5229764190408</v>
      </c>
      <c r="O7" s="11">
        <f t="shared" si="6"/>
        <v>4543.5229764190408</v>
      </c>
      <c r="P7" s="11">
        <f t="shared" si="6"/>
        <v>4543.5229764190408</v>
      </c>
      <c r="Q7" s="11">
        <f t="shared" si="6"/>
        <v>4543.5229764190408</v>
      </c>
      <c r="R7" s="11">
        <f t="shared" si="6"/>
        <v>4543.5229764190408</v>
      </c>
      <c r="S7" s="11">
        <f t="shared" si="6"/>
        <v>4543.5229764190408</v>
      </c>
      <c r="T7" s="11">
        <f t="shared" si="6"/>
        <v>4543.5229764190408</v>
      </c>
      <c r="U7" s="11">
        <f t="shared" si="6"/>
        <v>4543.5229764190408</v>
      </c>
      <c r="V7" s="11">
        <f t="shared" si="6"/>
        <v>4543.5229764190408</v>
      </c>
      <c r="W7" s="11">
        <f t="shared" si="6"/>
        <v>4543.5229764190408</v>
      </c>
      <c r="X7" s="11">
        <f t="shared" si="6"/>
        <v>4543.5229764190408</v>
      </c>
      <c r="Y7" s="11">
        <f t="shared" si="6"/>
        <v>4543.5229764190408</v>
      </c>
      <c r="Z7" s="11">
        <f t="shared" si="6"/>
        <v>4543.5229764190408</v>
      </c>
      <c r="AA7" s="11">
        <f t="shared" si="6"/>
        <v>4543.5229764190408</v>
      </c>
      <c r="AB7" s="11">
        <f t="shared" si="6"/>
        <v>4543.5229764190408</v>
      </c>
      <c r="AC7" s="11">
        <f t="shared" si="6"/>
        <v>4543.5229764190408</v>
      </c>
      <c r="AD7" s="11">
        <f t="shared" si="6"/>
        <v>4543.5229764190408</v>
      </c>
      <c r="AE7" s="11">
        <f t="shared" si="6"/>
        <v>4543.5229764190408</v>
      </c>
      <c r="AF7" s="11">
        <f t="shared" si="6"/>
        <v>4543.5229764190408</v>
      </c>
      <c r="AG7" s="11">
        <f t="shared" si="6"/>
        <v>4543.5229764190408</v>
      </c>
      <c r="AH7" s="11">
        <f t="shared" si="6"/>
        <v>4543.5229764190408</v>
      </c>
    </row>
    <row r="9" spans="1:34">
      <c r="B9" s="11"/>
    </row>
  </sheetData>
  <phoneticPr fontId="42" type="noConversion"/>
  <pageMargins left="0.7" right="0.7" top="0.75" bottom="0.75" header="0.3" footer="0.3"/>
  <pageSetup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7"/>
  <sheetViews>
    <sheetView workbookViewId="0">
      <selection activeCell="B2" sqref="B2"/>
    </sheetView>
  </sheetViews>
  <sheetFormatPr defaultColWidth="9.125" defaultRowHeight="16.5"/>
  <cols>
    <col min="1" max="1" width="16.625" style="10" customWidth="1"/>
    <col min="2" max="2" width="9.125" style="10"/>
    <col min="3" max="3" width="9.5" style="10" bestFit="1" customWidth="1"/>
    <col min="4" max="16384" width="9.125" style="10"/>
  </cols>
  <sheetData>
    <row r="1" spans="1:33" ht="33">
      <c r="A1" s="8" t="s">
        <v>9</v>
      </c>
      <c r="B1" s="9">
        <v>2019</v>
      </c>
      <c r="C1" s="9">
        <v>2020</v>
      </c>
      <c r="D1" s="9">
        <v>2021</v>
      </c>
      <c r="E1" s="9">
        <v>2022</v>
      </c>
      <c r="F1" s="9">
        <v>2023</v>
      </c>
      <c r="G1" s="9">
        <v>2024</v>
      </c>
      <c r="H1" s="9">
        <v>2025</v>
      </c>
      <c r="I1" s="9">
        <v>2026</v>
      </c>
      <c r="J1" s="9">
        <v>2027</v>
      </c>
      <c r="K1" s="9">
        <v>2028</v>
      </c>
      <c r="L1" s="9">
        <v>2029</v>
      </c>
      <c r="M1" s="9">
        <v>2030</v>
      </c>
      <c r="N1" s="9">
        <v>2031</v>
      </c>
      <c r="O1" s="9">
        <v>2032</v>
      </c>
      <c r="P1" s="9">
        <v>2033</v>
      </c>
      <c r="Q1" s="9">
        <v>2034</v>
      </c>
      <c r="R1" s="9">
        <v>2035</v>
      </c>
      <c r="S1" s="9">
        <v>2036</v>
      </c>
      <c r="T1" s="9">
        <v>2037</v>
      </c>
      <c r="U1" s="9">
        <v>2038</v>
      </c>
      <c r="V1" s="9">
        <v>2039</v>
      </c>
      <c r="W1" s="9">
        <v>2040</v>
      </c>
      <c r="X1" s="9">
        <v>2041</v>
      </c>
      <c r="Y1" s="9">
        <v>2042</v>
      </c>
      <c r="Z1" s="9">
        <v>2043</v>
      </c>
      <c r="AA1" s="9">
        <v>2044</v>
      </c>
      <c r="AB1" s="9">
        <v>2045</v>
      </c>
      <c r="AC1" s="9">
        <v>2046</v>
      </c>
      <c r="AD1" s="9">
        <v>2047</v>
      </c>
      <c r="AE1" s="9">
        <v>2048</v>
      </c>
      <c r="AF1" s="9">
        <v>2049</v>
      </c>
      <c r="AG1" s="9">
        <v>2050</v>
      </c>
    </row>
    <row r="2" spans="1:33">
      <c r="A2" s="10" t="s">
        <v>1</v>
      </c>
      <c r="B2" s="13">
        <f>C2</f>
        <v>9189.7881930098556</v>
      </c>
      <c r="C2" s="11">
        <f>'DV-Cal'!S10</f>
        <v>9189.7881930098556</v>
      </c>
      <c r="D2" s="11">
        <f>$C$2</f>
        <v>9189.7881930098556</v>
      </c>
      <c r="E2" s="11">
        <f t="shared" ref="E2:AG2" si="0">$C$2</f>
        <v>9189.7881930098556</v>
      </c>
      <c r="F2" s="11">
        <f t="shared" si="0"/>
        <v>9189.7881930098556</v>
      </c>
      <c r="G2" s="11">
        <f t="shared" si="0"/>
        <v>9189.7881930098556</v>
      </c>
      <c r="H2" s="11">
        <f t="shared" si="0"/>
        <v>9189.7881930098556</v>
      </c>
      <c r="I2" s="11">
        <f t="shared" si="0"/>
        <v>9189.7881930098556</v>
      </c>
      <c r="J2" s="11">
        <f t="shared" si="0"/>
        <v>9189.7881930098556</v>
      </c>
      <c r="K2" s="11">
        <f t="shared" si="0"/>
        <v>9189.7881930098556</v>
      </c>
      <c r="L2" s="11">
        <f t="shared" si="0"/>
        <v>9189.7881930098556</v>
      </c>
      <c r="M2" s="11">
        <f t="shared" si="0"/>
        <v>9189.7881930098556</v>
      </c>
      <c r="N2" s="11">
        <f t="shared" si="0"/>
        <v>9189.7881930098556</v>
      </c>
      <c r="O2" s="11">
        <f t="shared" si="0"/>
        <v>9189.7881930098556</v>
      </c>
      <c r="P2" s="11">
        <f t="shared" si="0"/>
        <v>9189.7881930098556</v>
      </c>
      <c r="Q2" s="11">
        <f t="shared" si="0"/>
        <v>9189.7881930098556</v>
      </c>
      <c r="R2" s="11">
        <f t="shared" si="0"/>
        <v>9189.7881930098556</v>
      </c>
      <c r="S2" s="11">
        <f t="shared" si="0"/>
        <v>9189.7881930098556</v>
      </c>
      <c r="T2" s="11">
        <f t="shared" si="0"/>
        <v>9189.7881930098556</v>
      </c>
      <c r="U2" s="11">
        <f t="shared" si="0"/>
        <v>9189.7881930098556</v>
      </c>
      <c r="V2" s="11">
        <f t="shared" si="0"/>
        <v>9189.7881930098556</v>
      </c>
      <c r="W2" s="11">
        <f t="shared" si="0"/>
        <v>9189.7881930098556</v>
      </c>
      <c r="X2" s="11">
        <f t="shared" si="0"/>
        <v>9189.7881930098556</v>
      </c>
      <c r="Y2" s="11">
        <f t="shared" si="0"/>
        <v>9189.7881930098556</v>
      </c>
      <c r="Z2" s="11">
        <f t="shared" si="0"/>
        <v>9189.7881930098556</v>
      </c>
      <c r="AA2" s="11">
        <f t="shared" si="0"/>
        <v>9189.7881930098556</v>
      </c>
      <c r="AB2" s="11">
        <f t="shared" si="0"/>
        <v>9189.7881930098556</v>
      </c>
      <c r="AC2" s="11">
        <f t="shared" si="0"/>
        <v>9189.7881930098556</v>
      </c>
      <c r="AD2" s="11">
        <f t="shared" si="0"/>
        <v>9189.7881930098556</v>
      </c>
      <c r="AE2" s="11">
        <f t="shared" si="0"/>
        <v>9189.7881930098556</v>
      </c>
      <c r="AF2" s="11">
        <f t="shared" si="0"/>
        <v>9189.7881930098556</v>
      </c>
      <c r="AG2" s="11">
        <f t="shared" si="0"/>
        <v>9189.7881930098556</v>
      </c>
    </row>
    <row r="3" spans="1:33">
      <c r="A3" s="10" t="s">
        <v>2</v>
      </c>
      <c r="B3" s="13">
        <f>C3</f>
        <v>18979.686196888564</v>
      </c>
      <c r="C3" s="11">
        <f>'DV-Cal'!S13</f>
        <v>18979.686196888564</v>
      </c>
      <c r="D3" s="11">
        <f>$C$3</f>
        <v>18979.686196888564</v>
      </c>
      <c r="E3" s="11">
        <f t="shared" ref="E3:AG3" si="1">$C$3</f>
        <v>18979.686196888564</v>
      </c>
      <c r="F3" s="11">
        <f t="shared" si="1"/>
        <v>18979.686196888564</v>
      </c>
      <c r="G3" s="11">
        <f t="shared" si="1"/>
        <v>18979.686196888564</v>
      </c>
      <c r="H3" s="11">
        <f t="shared" si="1"/>
        <v>18979.686196888564</v>
      </c>
      <c r="I3" s="11">
        <f t="shared" si="1"/>
        <v>18979.686196888564</v>
      </c>
      <c r="J3" s="11">
        <f t="shared" si="1"/>
        <v>18979.686196888564</v>
      </c>
      <c r="K3" s="11">
        <f t="shared" si="1"/>
        <v>18979.686196888564</v>
      </c>
      <c r="L3" s="11">
        <f t="shared" si="1"/>
        <v>18979.686196888564</v>
      </c>
      <c r="M3" s="11">
        <f t="shared" si="1"/>
        <v>18979.686196888564</v>
      </c>
      <c r="N3" s="11">
        <f t="shared" si="1"/>
        <v>18979.686196888564</v>
      </c>
      <c r="O3" s="11">
        <f t="shared" si="1"/>
        <v>18979.686196888564</v>
      </c>
      <c r="P3" s="11">
        <f t="shared" si="1"/>
        <v>18979.686196888564</v>
      </c>
      <c r="Q3" s="11">
        <f t="shared" si="1"/>
        <v>18979.686196888564</v>
      </c>
      <c r="R3" s="11">
        <f t="shared" si="1"/>
        <v>18979.686196888564</v>
      </c>
      <c r="S3" s="11">
        <f t="shared" si="1"/>
        <v>18979.686196888564</v>
      </c>
      <c r="T3" s="11">
        <f t="shared" si="1"/>
        <v>18979.686196888564</v>
      </c>
      <c r="U3" s="11">
        <f t="shared" si="1"/>
        <v>18979.686196888564</v>
      </c>
      <c r="V3" s="11">
        <f t="shared" si="1"/>
        <v>18979.686196888564</v>
      </c>
      <c r="W3" s="11">
        <f t="shared" si="1"/>
        <v>18979.686196888564</v>
      </c>
      <c r="X3" s="11">
        <f t="shared" si="1"/>
        <v>18979.686196888564</v>
      </c>
      <c r="Y3" s="11">
        <f t="shared" si="1"/>
        <v>18979.686196888564</v>
      </c>
      <c r="Z3" s="11">
        <f t="shared" si="1"/>
        <v>18979.686196888564</v>
      </c>
      <c r="AA3" s="11">
        <f t="shared" si="1"/>
        <v>18979.686196888564</v>
      </c>
      <c r="AB3" s="11">
        <f t="shared" si="1"/>
        <v>18979.686196888564</v>
      </c>
      <c r="AC3" s="11">
        <f t="shared" si="1"/>
        <v>18979.686196888564</v>
      </c>
      <c r="AD3" s="11">
        <f t="shared" si="1"/>
        <v>18979.686196888564</v>
      </c>
      <c r="AE3" s="11">
        <f t="shared" si="1"/>
        <v>18979.686196888564</v>
      </c>
      <c r="AF3" s="11">
        <f t="shared" si="1"/>
        <v>18979.686196888564</v>
      </c>
      <c r="AG3" s="11">
        <f t="shared" si="1"/>
        <v>18979.686196888564</v>
      </c>
    </row>
    <row r="4" spans="1:33">
      <c r="A4" s="10" t="s">
        <v>3</v>
      </c>
      <c r="B4" s="11">
        <f>'Air-Cal'!O7</f>
        <v>3355599.9662397844</v>
      </c>
      <c r="C4" s="11">
        <f>$B$4</f>
        <v>3355599.9662397844</v>
      </c>
      <c r="D4" s="11">
        <f t="shared" ref="D4:AG4" si="2">$B$4</f>
        <v>3355599.9662397844</v>
      </c>
      <c r="E4" s="11">
        <f t="shared" si="2"/>
        <v>3355599.9662397844</v>
      </c>
      <c r="F4" s="11">
        <f t="shared" si="2"/>
        <v>3355599.9662397844</v>
      </c>
      <c r="G4" s="11">
        <f t="shared" si="2"/>
        <v>3355599.9662397844</v>
      </c>
      <c r="H4" s="11">
        <f t="shared" si="2"/>
        <v>3355599.9662397844</v>
      </c>
      <c r="I4" s="11">
        <f t="shared" si="2"/>
        <v>3355599.9662397844</v>
      </c>
      <c r="J4" s="11">
        <f t="shared" si="2"/>
        <v>3355599.9662397844</v>
      </c>
      <c r="K4" s="11">
        <f t="shared" si="2"/>
        <v>3355599.9662397844</v>
      </c>
      <c r="L4" s="11">
        <f t="shared" si="2"/>
        <v>3355599.9662397844</v>
      </c>
      <c r="M4" s="11">
        <f t="shared" si="2"/>
        <v>3355599.9662397844</v>
      </c>
      <c r="N4" s="11">
        <f t="shared" si="2"/>
        <v>3355599.9662397844</v>
      </c>
      <c r="O4" s="11">
        <f t="shared" si="2"/>
        <v>3355599.9662397844</v>
      </c>
      <c r="P4" s="11">
        <f t="shared" si="2"/>
        <v>3355599.9662397844</v>
      </c>
      <c r="Q4" s="11">
        <f t="shared" si="2"/>
        <v>3355599.9662397844</v>
      </c>
      <c r="R4" s="11">
        <f t="shared" si="2"/>
        <v>3355599.9662397844</v>
      </c>
      <c r="S4" s="11">
        <f t="shared" si="2"/>
        <v>3355599.9662397844</v>
      </c>
      <c r="T4" s="11">
        <f t="shared" si="2"/>
        <v>3355599.9662397844</v>
      </c>
      <c r="U4" s="11">
        <f t="shared" si="2"/>
        <v>3355599.9662397844</v>
      </c>
      <c r="V4" s="11">
        <f t="shared" si="2"/>
        <v>3355599.9662397844</v>
      </c>
      <c r="W4" s="11">
        <f t="shared" si="2"/>
        <v>3355599.9662397844</v>
      </c>
      <c r="X4" s="11">
        <f t="shared" si="2"/>
        <v>3355599.9662397844</v>
      </c>
      <c r="Y4" s="11">
        <f t="shared" si="2"/>
        <v>3355599.9662397844</v>
      </c>
      <c r="Z4" s="11">
        <f t="shared" si="2"/>
        <v>3355599.9662397844</v>
      </c>
      <c r="AA4" s="11">
        <f t="shared" si="2"/>
        <v>3355599.9662397844</v>
      </c>
      <c r="AB4" s="11">
        <f t="shared" si="2"/>
        <v>3355599.9662397844</v>
      </c>
      <c r="AC4" s="11">
        <f t="shared" si="2"/>
        <v>3355599.9662397844</v>
      </c>
      <c r="AD4" s="11">
        <f t="shared" si="2"/>
        <v>3355599.9662397844</v>
      </c>
      <c r="AE4" s="11">
        <f t="shared" si="2"/>
        <v>3355599.9662397844</v>
      </c>
      <c r="AF4" s="11">
        <f t="shared" si="2"/>
        <v>3355599.9662397844</v>
      </c>
      <c r="AG4" s="11">
        <f t="shared" si="2"/>
        <v>3355599.9662397844</v>
      </c>
    </row>
    <row r="5" spans="1:33">
      <c r="A5" s="10" t="s">
        <v>4</v>
      </c>
      <c r="B5" s="11">
        <f>'Rail-Cal'!G7</f>
        <v>15068.57360345372</v>
      </c>
      <c r="C5" s="11">
        <f>$B$5</f>
        <v>15068.57360345372</v>
      </c>
      <c r="D5" s="11">
        <f t="shared" ref="D5:AG5" si="3">$B$5</f>
        <v>15068.57360345372</v>
      </c>
      <c r="E5" s="11">
        <f t="shared" si="3"/>
        <v>15068.57360345372</v>
      </c>
      <c r="F5" s="11">
        <f t="shared" si="3"/>
        <v>15068.57360345372</v>
      </c>
      <c r="G5" s="11">
        <f t="shared" si="3"/>
        <v>15068.57360345372</v>
      </c>
      <c r="H5" s="11">
        <f t="shared" si="3"/>
        <v>15068.57360345372</v>
      </c>
      <c r="I5" s="11">
        <f t="shared" si="3"/>
        <v>15068.57360345372</v>
      </c>
      <c r="J5" s="11">
        <f t="shared" si="3"/>
        <v>15068.57360345372</v>
      </c>
      <c r="K5" s="11">
        <f t="shared" si="3"/>
        <v>15068.57360345372</v>
      </c>
      <c r="L5" s="11">
        <f t="shared" si="3"/>
        <v>15068.57360345372</v>
      </c>
      <c r="M5" s="11">
        <f t="shared" si="3"/>
        <v>15068.57360345372</v>
      </c>
      <c r="N5" s="11">
        <f t="shared" si="3"/>
        <v>15068.57360345372</v>
      </c>
      <c r="O5" s="11">
        <f t="shared" si="3"/>
        <v>15068.57360345372</v>
      </c>
      <c r="P5" s="11">
        <f t="shared" si="3"/>
        <v>15068.57360345372</v>
      </c>
      <c r="Q5" s="11">
        <f t="shared" si="3"/>
        <v>15068.57360345372</v>
      </c>
      <c r="R5" s="11">
        <f t="shared" si="3"/>
        <v>15068.57360345372</v>
      </c>
      <c r="S5" s="11">
        <f t="shared" si="3"/>
        <v>15068.57360345372</v>
      </c>
      <c r="T5" s="11">
        <f t="shared" si="3"/>
        <v>15068.57360345372</v>
      </c>
      <c r="U5" s="11">
        <f t="shared" si="3"/>
        <v>15068.57360345372</v>
      </c>
      <c r="V5" s="11">
        <f t="shared" si="3"/>
        <v>15068.57360345372</v>
      </c>
      <c r="W5" s="11">
        <f t="shared" si="3"/>
        <v>15068.57360345372</v>
      </c>
      <c r="X5" s="11">
        <f t="shared" si="3"/>
        <v>15068.57360345372</v>
      </c>
      <c r="Y5" s="11">
        <f t="shared" si="3"/>
        <v>15068.57360345372</v>
      </c>
      <c r="Z5" s="11">
        <f t="shared" si="3"/>
        <v>15068.57360345372</v>
      </c>
      <c r="AA5" s="11">
        <f t="shared" si="3"/>
        <v>15068.57360345372</v>
      </c>
      <c r="AB5" s="11">
        <f t="shared" si="3"/>
        <v>15068.57360345372</v>
      </c>
      <c r="AC5" s="11">
        <f t="shared" si="3"/>
        <v>15068.57360345372</v>
      </c>
      <c r="AD5" s="11">
        <f t="shared" si="3"/>
        <v>15068.57360345372</v>
      </c>
      <c r="AE5" s="11">
        <f t="shared" si="3"/>
        <v>15068.57360345372</v>
      </c>
      <c r="AF5" s="11">
        <f t="shared" si="3"/>
        <v>15068.57360345372</v>
      </c>
      <c r="AG5" s="11">
        <f t="shared" si="3"/>
        <v>15068.57360345372</v>
      </c>
    </row>
    <row r="6" spans="1:33">
      <c r="A6" s="10" t="s">
        <v>5</v>
      </c>
      <c r="B6" s="11">
        <f>'Ships-Cal'!H76</f>
        <v>235961.99201255664</v>
      </c>
      <c r="C6" s="11">
        <f>$B$6</f>
        <v>235961.99201255664</v>
      </c>
      <c r="D6" s="11">
        <f t="shared" ref="D6:AG6" si="4">$B$6</f>
        <v>235961.99201255664</v>
      </c>
      <c r="E6" s="11">
        <f t="shared" si="4"/>
        <v>235961.99201255664</v>
      </c>
      <c r="F6" s="11">
        <f t="shared" si="4"/>
        <v>235961.99201255664</v>
      </c>
      <c r="G6" s="11">
        <f t="shared" si="4"/>
        <v>235961.99201255664</v>
      </c>
      <c r="H6" s="11">
        <f t="shared" si="4"/>
        <v>235961.99201255664</v>
      </c>
      <c r="I6" s="11">
        <f t="shared" si="4"/>
        <v>235961.99201255664</v>
      </c>
      <c r="J6" s="11">
        <f t="shared" si="4"/>
        <v>235961.99201255664</v>
      </c>
      <c r="K6" s="11">
        <f t="shared" si="4"/>
        <v>235961.99201255664</v>
      </c>
      <c r="L6" s="11">
        <f t="shared" si="4"/>
        <v>235961.99201255664</v>
      </c>
      <c r="M6" s="11">
        <f t="shared" si="4"/>
        <v>235961.99201255664</v>
      </c>
      <c r="N6" s="11">
        <f t="shared" si="4"/>
        <v>235961.99201255664</v>
      </c>
      <c r="O6" s="11">
        <f t="shared" si="4"/>
        <v>235961.99201255664</v>
      </c>
      <c r="P6" s="11">
        <f t="shared" si="4"/>
        <v>235961.99201255664</v>
      </c>
      <c r="Q6" s="11">
        <f t="shared" si="4"/>
        <v>235961.99201255664</v>
      </c>
      <c r="R6" s="11">
        <f t="shared" si="4"/>
        <v>235961.99201255664</v>
      </c>
      <c r="S6" s="11">
        <f t="shared" si="4"/>
        <v>235961.99201255664</v>
      </c>
      <c r="T6" s="11">
        <f t="shared" si="4"/>
        <v>235961.99201255664</v>
      </c>
      <c r="U6" s="11">
        <f t="shared" si="4"/>
        <v>235961.99201255664</v>
      </c>
      <c r="V6" s="11">
        <f t="shared" si="4"/>
        <v>235961.99201255664</v>
      </c>
      <c r="W6" s="11">
        <f t="shared" si="4"/>
        <v>235961.99201255664</v>
      </c>
      <c r="X6" s="11">
        <f t="shared" si="4"/>
        <v>235961.99201255664</v>
      </c>
      <c r="Y6" s="11">
        <f t="shared" si="4"/>
        <v>235961.99201255664</v>
      </c>
      <c r="Z6" s="11">
        <f t="shared" si="4"/>
        <v>235961.99201255664</v>
      </c>
      <c r="AA6" s="11">
        <f t="shared" si="4"/>
        <v>235961.99201255664</v>
      </c>
      <c r="AB6" s="11">
        <f t="shared" si="4"/>
        <v>235961.99201255664</v>
      </c>
      <c r="AC6" s="11">
        <f t="shared" si="4"/>
        <v>235961.99201255664</v>
      </c>
      <c r="AD6" s="11">
        <f t="shared" si="4"/>
        <v>235961.99201255664</v>
      </c>
      <c r="AE6" s="11">
        <f t="shared" si="4"/>
        <v>235961.99201255664</v>
      </c>
      <c r="AF6" s="11">
        <f t="shared" si="4"/>
        <v>235961.99201255664</v>
      </c>
      <c r="AG6" s="11">
        <f t="shared" si="4"/>
        <v>235961.99201255664</v>
      </c>
    </row>
    <row r="7" spans="1:33">
      <c r="A7" s="10" t="s">
        <v>6</v>
      </c>
      <c r="B7" s="11">
        <f>Motorbikes!$E$2*About!$B$64*365</f>
        <v>10573.883538920783</v>
      </c>
      <c r="C7" s="11">
        <f t="shared" ref="C7" si="5">B7</f>
        <v>10573.883538920783</v>
      </c>
      <c r="D7" s="11">
        <f t="shared" ref="D7:AG7" si="6">C7</f>
        <v>10573.883538920783</v>
      </c>
      <c r="E7" s="11">
        <f t="shared" si="6"/>
        <v>10573.883538920783</v>
      </c>
      <c r="F7" s="11">
        <f t="shared" si="6"/>
        <v>10573.883538920783</v>
      </c>
      <c r="G7" s="11">
        <f t="shared" si="6"/>
        <v>10573.883538920783</v>
      </c>
      <c r="H7" s="11">
        <f t="shared" si="6"/>
        <v>10573.883538920783</v>
      </c>
      <c r="I7" s="11">
        <f t="shared" si="6"/>
        <v>10573.883538920783</v>
      </c>
      <c r="J7" s="11">
        <f t="shared" si="6"/>
        <v>10573.883538920783</v>
      </c>
      <c r="K7" s="11">
        <f t="shared" si="6"/>
        <v>10573.883538920783</v>
      </c>
      <c r="L7" s="11">
        <f t="shared" si="6"/>
        <v>10573.883538920783</v>
      </c>
      <c r="M7" s="11">
        <f t="shared" si="6"/>
        <v>10573.883538920783</v>
      </c>
      <c r="N7" s="11">
        <f t="shared" si="6"/>
        <v>10573.883538920783</v>
      </c>
      <c r="O7" s="11">
        <f t="shared" si="6"/>
        <v>10573.883538920783</v>
      </c>
      <c r="P7" s="11">
        <f t="shared" si="6"/>
        <v>10573.883538920783</v>
      </c>
      <c r="Q7" s="11">
        <f t="shared" si="6"/>
        <v>10573.883538920783</v>
      </c>
      <c r="R7" s="11">
        <f t="shared" si="6"/>
        <v>10573.883538920783</v>
      </c>
      <c r="S7" s="11">
        <f t="shared" si="6"/>
        <v>10573.883538920783</v>
      </c>
      <c r="T7" s="11">
        <f t="shared" si="6"/>
        <v>10573.883538920783</v>
      </c>
      <c r="U7" s="11">
        <f t="shared" si="6"/>
        <v>10573.883538920783</v>
      </c>
      <c r="V7" s="11">
        <f t="shared" si="6"/>
        <v>10573.883538920783</v>
      </c>
      <c r="W7" s="11">
        <f t="shared" si="6"/>
        <v>10573.883538920783</v>
      </c>
      <c r="X7" s="11">
        <f t="shared" si="6"/>
        <v>10573.883538920783</v>
      </c>
      <c r="Y7" s="11">
        <f t="shared" si="6"/>
        <v>10573.883538920783</v>
      </c>
      <c r="Z7" s="11">
        <f t="shared" si="6"/>
        <v>10573.883538920783</v>
      </c>
      <c r="AA7" s="11">
        <f t="shared" si="6"/>
        <v>10573.883538920783</v>
      </c>
      <c r="AB7" s="11">
        <f t="shared" si="6"/>
        <v>10573.883538920783</v>
      </c>
      <c r="AC7" s="11">
        <f t="shared" si="6"/>
        <v>10573.883538920783</v>
      </c>
      <c r="AD7" s="11">
        <f t="shared" si="6"/>
        <v>10573.883538920783</v>
      </c>
      <c r="AE7" s="11">
        <f t="shared" si="6"/>
        <v>10573.883538920783</v>
      </c>
      <c r="AF7" s="11">
        <f t="shared" si="6"/>
        <v>10573.883538920783</v>
      </c>
      <c r="AG7" s="11">
        <f t="shared" si="6"/>
        <v>10573.883538920783</v>
      </c>
    </row>
  </sheetData>
  <phoneticPr fontId="42" type="noConversion"/>
  <pageMargins left="0.7" right="0.7" top="0.75" bottom="0.75" header="0.3" footer="0.3"/>
  <pageSetup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97FB3-E9EC-4E6D-8DC8-7394CAD9CB6D}">
  <sheetPr>
    <tabColor rgb="FFFF0000"/>
  </sheetPr>
  <dimension ref="A1:B9"/>
  <sheetViews>
    <sheetView workbookViewId="0">
      <selection activeCell="F13" sqref="F13"/>
    </sheetView>
  </sheetViews>
  <sheetFormatPr defaultRowHeight="16.5"/>
  <sheetData>
    <row r="1" spans="1:2">
      <c r="A1" s="125" t="s">
        <v>290</v>
      </c>
    </row>
    <row r="2" spans="1:2">
      <c r="A2" t="s">
        <v>24</v>
      </c>
      <c r="B2" s="371">
        <v>1.404094416519162</v>
      </c>
    </row>
    <row r="3" spans="1:2">
      <c r="A3" t="s">
        <v>25</v>
      </c>
      <c r="B3" s="371">
        <v>14.731070293267342</v>
      </c>
    </row>
    <row r="4" spans="1:2">
      <c r="A4" t="s">
        <v>291</v>
      </c>
      <c r="B4" s="371">
        <v>165.53728489483748</v>
      </c>
    </row>
    <row r="5" spans="1:2">
      <c r="A5" t="s">
        <v>292</v>
      </c>
      <c r="B5" s="371">
        <v>47.804605060754582</v>
      </c>
    </row>
    <row r="6" spans="1:2">
      <c r="A6" t="s">
        <v>293</v>
      </c>
      <c r="B6" s="371">
        <v>337.61417769892506</v>
      </c>
    </row>
    <row r="7" spans="1:2">
      <c r="A7" t="s">
        <v>294</v>
      </c>
      <c r="B7" s="147">
        <v>1.1000000000000001</v>
      </c>
    </row>
    <row r="9" spans="1:2">
      <c r="A9" s="125"/>
    </row>
  </sheetData>
  <phoneticPr fontId="42" type="noConversion"/>
  <pageMargins left="0.7" right="0.7" top="0.75" bottom="0.75" header="0.3" footer="0.3"/>
  <pageSetup orientation="portrait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AEF-DF7D-478A-9467-A51A8EC9446B}">
  <dimension ref="A1:F145"/>
  <sheetViews>
    <sheetView workbookViewId="0">
      <selection activeCell="A146" sqref="A146"/>
    </sheetView>
  </sheetViews>
  <sheetFormatPr defaultColWidth="9" defaultRowHeight="13.5"/>
  <cols>
    <col min="1" max="1" width="4" style="17" customWidth="1"/>
    <col min="2" max="2" width="3.5" style="17" customWidth="1"/>
    <col min="3" max="4" width="1.625" style="17" customWidth="1"/>
    <col min="5" max="5" width="23.25" style="17" customWidth="1"/>
    <col min="6" max="6" width="12.625" style="17" bestFit="1" customWidth="1"/>
    <col min="7" max="16384" width="9" style="17"/>
  </cols>
  <sheetData>
    <row r="1" spans="1:6">
      <c r="A1" s="173" t="s">
        <v>38</v>
      </c>
    </row>
    <row r="2" spans="1:6">
      <c r="A2" s="18" t="s">
        <v>195</v>
      </c>
      <c r="B2" s="19"/>
    </row>
    <row r="3" spans="1:6">
      <c r="A3" s="20"/>
      <c r="B3" s="20"/>
      <c r="C3" s="20"/>
      <c r="D3" s="20"/>
      <c r="E3" s="20" t="s">
        <v>39</v>
      </c>
      <c r="F3" s="21" t="s">
        <v>10</v>
      </c>
    </row>
    <row r="4" spans="1:6">
      <c r="A4" s="22" t="s">
        <v>40</v>
      </c>
      <c r="B4" s="22"/>
      <c r="C4" s="22"/>
      <c r="D4" s="22"/>
      <c r="E4" s="22"/>
      <c r="F4" s="23">
        <v>23677366</v>
      </c>
    </row>
    <row r="5" spans="1:6">
      <c r="A5" s="22"/>
      <c r="B5" s="22" t="s">
        <v>41</v>
      </c>
      <c r="C5" s="22"/>
      <c r="D5" s="22"/>
      <c r="E5" s="22"/>
      <c r="F5" s="25">
        <v>19177517</v>
      </c>
    </row>
    <row r="6" spans="1:6">
      <c r="A6" s="22"/>
      <c r="B6" s="22"/>
      <c r="C6" s="22" t="s">
        <v>42</v>
      </c>
      <c r="D6" s="22"/>
      <c r="E6" s="22"/>
      <c r="F6" s="26">
        <v>13426436</v>
      </c>
    </row>
    <row r="7" spans="1:6">
      <c r="A7" s="22"/>
      <c r="B7" s="22"/>
      <c r="C7" s="22"/>
      <c r="D7" s="22" t="s">
        <v>43</v>
      </c>
      <c r="E7" s="22"/>
      <c r="F7" s="25">
        <v>11634606</v>
      </c>
    </row>
    <row r="8" spans="1:6">
      <c r="A8" s="22"/>
      <c r="B8" s="22"/>
      <c r="C8" s="22"/>
      <c r="D8" s="22"/>
      <c r="E8" s="22" t="s">
        <v>44</v>
      </c>
      <c r="F8" s="27">
        <v>183311</v>
      </c>
    </row>
    <row r="9" spans="1:6">
      <c r="A9" s="22"/>
      <c r="B9" s="22"/>
      <c r="C9" s="22"/>
      <c r="D9" s="22"/>
      <c r="E9" s="22" t="s">
        <v>45</v>
      </c>
      <c r="F9" s="27">
        <v>1707951</v>
      </c>
    </row>
    <row r="10" spans="1:6">
      <c r="A10" s="22"/>
      <c r="B10" s="22"/>
      <c r="C10" s="22"/>
      <c r="D10" s="22"/>
      <c r="E10" s="22" t="s">
        <v>46</v>
      </c>
      <c r="F10" s="27">
        <v>796964</v>
      </c>
    </row>
    <row r="11" spans="1:6">
      <c r="A11" s="22"/>
      <c r="B11" s="22"/>
      <c r="C11" s="22"/>
      <c r="D11" s="22"/>
      <c r="E11" s="22" t="s">
        <v>47</v>
      </c>
      <c r="F11" s="27">
        <v>6158984</v>
      </c>
    </row>
    <row r="12" spans="1:6">
      <c r="A12" s="22"/>
      <c r="B12" s="22"/>
      <c r="C12" s="22"/>
      <c r="D12" s="22"/>
      <c r="E12" s="22" t="s">
        <v>48</v>
      </c>
      <c r="F12" s="28">
        <v>985505</v>
      </c>
    </row>
    <row r="13" spans="1:6">
      <c r="A13" s="22"/>
      <c r="B13" s="22"/>
      <c r="C13" s="22"/>
      <c r="D13" s="22"/>
      <c r="E13" s="22" t="s">
        <v>49</v>
      </c>
      <c r="F13" s="28">
        <v>999171</v>
      </c>
    </row>
    <row r="14" spans="1:6">
      <c r="A14" s="22"/>
      <c r="B14" s="22"/>
      <c r="C14" s="22"/>
      <c r="D14" s="22"/>
      <c r="E14" s="22" t="s">
        <v>50</v>
      </c>
      <c r="F14" s="28">
        <v>546579</v>
      </c>
    </row>
    <row r="15" spans="1:6">
      <c r="A15" s="22"/>
      <c r="B15" s="22"/>
      <c r="C15" s="22"/>
      <c r="D15" s="22"/>
      <c r="E15" s="22" t="s">
        <v>51</v>
      </c>
      <c r="F15" s="28">
        <v>219271</v>
      </c>
    </row>
    <row r="16" spans="1:6">
      <c r="A16" s="22"/>
      <c r="B16" s="22"/>
      <c r="C16" s="22"/>
      <c r="D16" s="22"/>
      <c r="E16" s="22" t="s">
        <v>52</v>
      </c>
      <c r="F16" s="28">
        <v>3378</v>
      </c>
    </row>
    <row r="17" spans="1:6">
      <c r="A17" s="22"/>
      <c r="B17" s="22"/>
      <c r="C17" s="22"/>
      <c r="D17" s="22"/>
      <c r="E17" s="22" t="s">
        <v>53</v>
      </c>
      <c r="F17" s="28">
        <v>7149</v>
      </c>
    </row>
    <row r="18" spans="1:6">
      <c r="A18" s="22"/>
      <c r="B18" s="22"/>
      <c r="C18" s="22"/>
      <c r="D18" s="22"/>
      <c r="E18" s="22" t="s">
        <v>54</v>
      </c>
      <c r="F18" s="28">
        <v>17070</v>
      </c>
    </row>
    <row r="19" spans="1:6">
      <c r="A19" s="22"/>
      <c r="B19" s="22"/>
      <c r="C19" s="22"/>
      <c r="D19" s="22"/>
      <c r="E19" s="22" t="s">
        <v>55</v>
      </c>
      <c r="F19" s="27">
        <v>31</v>
      </c>
    </row>
    <row r="20" spans="1:6">
      <c r="A20" s="22"/>
      <c r="B20" s="22"/>
      <c r="C20" s="22"/>
      <c r="D20" s="22"/>
      <c r="E20" s="22" t="s">
        <v>56</v>
      </c>
      <c r="F20" s="27">
        <v>9242</v>
      </c>
    </row>
    <row r="21" spans="1:6">
      <c r="A21" s="22"/>
      <c r="B21" s="22"/>
      <c r="C21" s="22"/>
      <c r="D21" s="22" t="s">
        <v>57</v>
      </c>
      <c r="E21" s="22"/>
      <c r="F21" s="29">
        <v>1791830</v>
      </c>
    </row>
    <row r="22" spans="1:6">
      <c r="A22" s="22"/>
      <c r="B22" s="22"/>
      <c r="C22" s="22"/>
      <c r="D22" s="22"/>
      <c r="E22" s="22" t="s">
        <v>58</v>
      </c>
      <c r="F22" s="27">
        <v>2496</v>
      </c>
    </row>
    <row r="23" spans="1:6">
      <c r="A23" s="22"/>
      <c r="B23" s="22"/>
      <c r="C23" s="22"/>
      <c r="D23" s="22"/>
      <c r="E23" s="22" t="s">
        <v>59</v>
      </c>
      <c r="F23" s="27">
        <v>1969</v>
      </c>
    </row>
    <row r="24" spans="1:6">
      <c r="A24" s="22"/>
      <c r="B24" s="22"/>
      <c r="C24" s="22"/>
      <c r="D24" s="22"/>
      <c r="E24" s="22" t="s">
        <v>60</v>
      </c>
      <c r="F24" s="27">
        <v>138013</v>
      </c>
    </row>
    <row r="25" spans="1:6">
      <c r="A25" s="22"/>
      <c r="B25" s="22"/>
      <c r="C25" s="22"/>
      <c r="D25" s="22"/>
      <c r="E25" s="22" t="s">
        <v>61</v>
      </c>
      <c r="F25" s="27">
        <v>865470</v>
      </c>
    </row>
    <row r="26" spans="1:6">
      <c r="A26" s="22"/>
      <c r="B26" s="22"/>
      <c r="C26" s="22"/>
      <c r="D26" s="22"/>
      <c r="E26" s="22" t="s">
        <v>62</v>
      </c>
      <c r="F26" s="28">
        <v>273985</v>
      </c>
    </row>
    <row r="27" spans="1:6">
      <c r="A27" s="22"/>
      <c r="B27" s="22"/>
      <c r="C27" s="22"/>
      <c r="D27" s="22"/>
      <c r="E27" s="22" t="s">
        <v>63</v>
      </c>
      <c r="F27" s="28">
        <v>234898</v>
      </c>
    </row>
    <row r="28" spans="1:6">
      <c r="A28" s="22"/>
      <c r="B28" s="22"/>
      <c r="C28" s="22"/>
      <c r="D28" s="22"/>
      <c r="E28" s="22" t="s">
        <v>64</v>
      </c>
      <c r="F28" s="28">
        <v>132043</v>
      </c>
    </row>
    <row r="29" spans="1:6">
      <c r="A29" s="22"/>
      <c r="B29" s="22"/>
      <c r="C29" s="22"/>
      <c r="D29" s="22"/>
      <c r="E29" s="22" t="s">
        <v>65</v>
      </c>
      <c r="F29" s="28">
        <v>58013</v>
      </c>
    </row>
    <row r="30" spans="1:6">
      <c r="A30" s="22"/>
      <c r="B30" s="22"/>
      <c r="C30" s="22"/>
      <c r="D30" s="22"/>
      <c r="E30" s="22" t="s">
        <v>66</v>
      </c>
      <c r="F30" s="28">
        <v>20953</v>
      </c>
    </row>
    <row r="31" spans="1:6">
      <c r="A31" s="22"/>
      <c r="B31" s="22"/>
      <c r="C31" s="22"/>
      <c r="D31" s="22"/>
      <c r="E31" s="22" t="s">
        <v>67</v>
      </c>
      <c r="F31" s="28">
        <v>23290</v>
      </c>
    </row>
    <row r="32" spans="1:6">
      <c r="A32" s="22"/>
      <c r="B32" s="22"/>
      <c r="C32" s="22"/>
      <c r="D32" s="22"/>
      <c r="E32" s="22" t="s">
        <v>68</v>
      </c>
      <c r="F32" s="28">
        <v>25643</v>
      </c>
    </row>
    <row r="33" spans="1:6">
      <c r="A33" s="22"/>
      <c r="B33" s="22"/>
      <c r="C33" s="22"/>
      <c r="D33" s="22"/>
      <c r="E33" s="22" t="s">
        <v>69</v>
      </c>
      <c r="F33" s="27">
        <v>0</v>
      </c>
    </row>
    <row r="34" spans="1:6">
      <c r="A34" s="22"/>
      <c r="B34" s="22"/>
      <c r="C34" s="22"/>
      <c r="D34" s="22"/>
      <c r="E34" s="22" t="s">
        <v>70</v>
      </c>
      <c r="F34" s="27">
        <v>15057</v>
      </c>
    </row>
    <row r="35" spans="1:6">
      <c r="A35" s="22"/>
      <c r="B35" s="22"/>
      <c r="C35" s="22" t="s">
        <v>71</v>
      </c>
      <c r="D35" s="22"/>
      <c r="E35" s="22"/>
      <c r="F35" s="23">
        <v>72132</v>
      </c>
    </row>
    <row r="36" spans="1:6">
      <c r="A36" s="22"/>
      <c r="B36" s="22"/>
      <c r="C36" s="22"/>
      <c r="D36" s="22"/>
      <c r="E36" s="22" t="s">
        <v>72</v>
      </c>
      <c r="F36" s="27">
        <v>68070</v>
      </c>
    </row>
    <row r="37" spans="1:6">
      <c r="A37" s="22"/>
      <c r="B37" s="22"/>
      <c r="C37" s="22"/>
      <c r="D37" s="22"/>
      <c r="E37" s="22" t="s">
        <v>73</v>
      </c>
      <c r="F37" s="27">
        <v>45</v>
      </c>
    </row>
    <row r="38" spans="1:6">
      <c r="A38" s="22"/>
      <c r="B38" s="22"/>
      <c r="C38" s="22"/>
      <c r="D38" s="22"/>
      <c r="E38" s="22" t="s">
        <v>74</v>
      </c>
      <c r="F38" s="28">
        <v>3202</v>
      </c>
    </row>
    <row r="39" spans="1:6">
      <c r="A39" s="22"/>
      <c r="B39" s="22"/>
      <c r="C39" s="22"/>
      <c r="D39" s="22"/>
      <c r="E39" s="22" t="s">
        <v>75</v>
      </c>
      <c r="F39" s="28">
        <v>217</v>
      </c>
    </row>
    <row r="40" spans="1:6">
      <c r="A40" s="22"/>
      <c r="B40" s="22"/>
      <c r="C40" s="22"/>
      <c r="D40" s="22"/>
      <c r="E40" s="22" t="s">
        <v>76</v>
      </c>
      <c r="F40" s="28">
        <v>63</v>
      </c>
    </row>
    <row r="41" spans="1:6">
      <c r="A41" s="22"/>
      <c r="B41" s="22"/>
      <c r="C41" s="22"/>
      <c r="D41" s="22"/>
      <c r="E41" s="22" t="s">
        <v>77</v>
      </c>
      <c r="F41" s="28">
        <v>535</v>
      </c>
    </row>
    <row r="42" spans="1:6">
      <c r="A42" s="22"/>
      <c r="B42" s="22"/>
      <c r="C42" s="22"/>
      <c r="D42" s="22"/>
      <c r="E42" s="22" t="s">
        <v>78</v>
      </c>
      <c r="F42" s="27">
        <v>0</v>
      </c>
    </row>
    <row r="43" spans="1:6">
      <c r="A43" s="22"/>
      <c r="B43" s="22"/>
      <c r="C43" s="22"/>
      <c r="D43" s="22"/>
      <c r="E43" s="22" t="s">
        <v>79</v>
      </c>
      <c r="F43" s="27">
        <v>0</v>
      </c>
    </row>
    <row r="44" spans="1:6">
      <c r="A44" s="22"/>
      <c r="B44" s="22"/>
      <c r="C44" s="22" t="s">
        <v>80</v>
      </c>
      <c r="D44" s="22"/>
      <c r="E44" s="22"/>
      <c r="F44" s="29">
        <v>4557850</v>
      </c>
    </row>
    <row r="45" spans="1:6">
      <c r="A45" s="22"/>
      <c r="B45" s="22"/>
      <c r="C45" s="22"/>
      <c r="D45" s="22"/>
      <c r="E45" s="22" t="s">
        <v>81</v>
      </c>
      <c r="F45" s="27">
        <v>8413</v>
      </c>
    </row>
    <row r="46" spans="1:6">
      <c r="A46" s="22"/>
      <c r="B46" s="22"/>
      <c r="C46" s="22"/>
      <c r="D46" s="22"/>
      <c r="E46" s="22" t="s">
        <v>82</v>
      </c>
      <c r="F46" s="27">
        <v>3092398</v>
      </c>
    </row>
    <row r="47" spans="1:6">
      <c r="A47" s="22"/>
      <c r="B47" s="22"/>
      <c r="C47" s="22"/>
      <c r="D47" s="22"/>
      <c r="E47" s="22" t="s">
        <v>83</v>
      </c>
      <c r="F47" s="28">
        <v>876191</v>
      </c>
    </row>
    <row r="48" spans="1:6">
      <c r="A48" s="22"/>
      <c r="B48" s="22"/>
      <c r="C48" s="22"/>
      <c r="D48" s="22"/>
      <c r="E48" s="22" t="s">
        <v>84</v>
      </c>
      <c r="F48" s="28">
        <v>457486</v>
      </c>
    </row>
    <row r="49" spans="1:6">
      <c r="A49" s="22"/>
      <c r="B49" s="22"/>
      <c r="C49" s="22"/>
      <c r="D49" s="22"/>
      <c r="E49" s="22" t="s">
        <v>85</v>
      </c>
      <c r="F49" s="28">
        <v>38448</v>
      </c>
    </row>
    <row r="50" spans="1:6">
      <c r="A50" s="22"/>
      <c r="B50" s="22"/>
      <c r="C50" s="22"/>
      <c r="D50" s="22"/>
      <c r="E50" s="22" t="s">
        <v>86</v>
      </c>
      <c r="F50" s="28">
        <v>54690</v>
      </c>
    </row>
    <row r="51" spans="1:6">
      <c r="A51" s="22"/>
      <c r="B51" s="22"/>
      <c r="C51" s="22"/>
      <c r="D51" s="22"/>
      <c r="E51" s="22" t="s">
        <v>87</v>
      </c>
      <c r="F51" s="27">
        <v>1</v>
      </c>
    </row>
    <row r="52" spans="1:6">
      <c r="A52" s="22"/>
      <c r="B52" s="22"/>
      <c r="C52" s="22"/>
      <c r="D52" s="22"/>
      <c r="E52" s="22" t="s">
        <v>88</v>
      </c>
      <c r="F52" s="27">
        <v>30223</v>
      </c>
    </row>
    <row r="53" spans="1:6">
      <c r="A53" s="22"/>
      <c r="B53" s="22"/>
      <c r="C53" s="22" t="s">
        <v>89</v>
      </c>
      <c r="D53" s="22"/>
      <c r="E53" s="22"/>
      <c r="F53" s="29">
        <v>1121099</v>
      </c>
    </row>
    <row r="54" spans="1:6">
      <c r="A54" s="22"/>
      <c r="B54" s="22"/>
      <c r="C54" s="22"/>
      <c r="D54" s="22"/>
      <c r="E54" s="22" t="s">
        <v>90</v>
      </c>
      <c r="F54" s="27">
        <v>47404</v>
      </c>
    </row>
    <row r="55" spans="1:6">
      <c r="A55" s="22"/>
      <c r="B55" s="22"/>
      <c r="C55" s="22"/>
      <c r="D55" s="22"/>
      <c r="E55" s="22" t="s">
        <v>91</v>
      </c>
      <c r="F55" s="27">
        <v>563610</v>
      </c>
    </row>
    <row r="56" spans="1:6">
      <c r="A56" s="22"/>
      <c r="B56" s="22"/>
      <c r="C56" s="22"/>
      <c r="D56" s="22"/>
      <c r="E56" s="22" t="s">
        <v>92</v>
      </c>
      <c r="F56" s="28">
        <v>399136</v>
      </c>
    </row>
    <row r="57" spans="1:6">
      <c r="A57" s="22"/>
      <c r="B57" s="22"/>
      <c r="C57" s="22"/>
      <c r="D57" s="22"/>
      <c r="E57" s="22" t="s">
        <v>93</v>
      </c>
      <c r="F57" s="28">
        <v>64801</v>
      </c>
    </row>
    <row r="58" spans="1:6">
      <c r="A58" s="22"/>
      <c r="B58" s="22"/>
      <c r="C58" s="22"/>
      <c r="D58" s="22"/>
      <c r="E58" s="22" t="s">
        <v>94</v>
      </c>
      <c r="F58" s="28">
        <v>30594</v>
      </c>
    </row>
    <row r="59" spans="1:6">
      <c r="A59" s="22"/>
      <c r="B59" s="22"/>
      <c r="C59" s="22"/>
      <c r="D59" s="22"/>
      <c r="E59" s="22" t="s">
        <v>95</v>
      </c>
      <c r="F59" s="28">
        <v>2248</v>
      </c>
    </row>
    <row r="60" spans="1:6">
      <c r="A60" s="22"/>
      <c r="B60" s="22"/>
      <c r="C60" s="22"/>
      <c r="D60" s="22"/>
      <c r="E60" s="22" t="s">
        <v>96</v>
      </c>
      <c r="F60" s="27">
        <v>48</v>
      </c>
    </row>
    <row r="61" spans="1:6">
      <c r="A61" s="22"/>
      <c r="B61" s="22"/>
      <c r="C61" s="22"/>
      <c r="D61" s="22"/>
      <c r="E61" s="22" t="s">
        <v>97</v>
      </c>
      <c r="F61" s="27">
        <v>13258</v>
      </c>
    </row>
    <row r="62" spans="1:6">
      <c r="A62" s="22"/>
      <c r="B62" s="22" t="s">
        <v>98</v>
      </c>
      <c r="C62" s="22"/>
      <c r="D62" s="22"/>
      <c r="E62" s="22"/>
      <c r="F62" s="29">
        <v>811799</v>
      </c>
    </row>
    <row r="63" spans="1:6">
      <c r="A63" s="22"/>
      <c r="B63" s="22"/>
      <c r="C63" s="22" t="s">
        <v>99</v>
      </c>
      <c r="D63" s="22"/>
      <c r="E63" s="22"/>
      <c r="F63" s="23">
        <v>776984</v>
      </c>
    </row>
    <row r="64" spans="1:6">
      <c r="A64" s="22"/>
      <c r="B64" s="22"/>
      <c r="C64" s="22"/>
      <c r="D64" s="22" t="s">
        <v>100</v>
      </c>
      <c r="E64" s="22"/>
      <c r="F64" s="28">
        <v>43137</v>
      </c>
    </row>
    <row r="65" spans="1:6">
      <c r="A65" s="22"/>
      <c r="B65" s="22"/>
      <c r="C65" s="22"/>
      <c r="D65" s="22" t="s">
        <v>101</v>
      </c>
      <c r="E65" s="22"/>
      <c r="F65" s="28">
        <v>24525</v>
      </c>
    </row>
    <row r="66" spans="1:6">
      <c r="A66" s="22"/>
      <c r="B66" s="22"/>
      <c r="C66" s="22"/>
      <c r="D66" s="22" t="s">
        <v>102</v>
      </c>
      <c r="E66" s="22"/>
      <c r="F66" s="28">
        <v>40952</v>
      </c>
    </row>
    <row r="67" spans="1:6">
      <c r="A67" s="22"/>
      <c r="B67" s="22"/>
      <c r="C67" s="22"/>
      <c r="D67" s="22" t="s">
        <v>103</v>
      </c>
      <c r="E67" s="22"/>
      <c r="F67" s="28">
        <v>36</v>
      </c>
    </row>
    <row r="68" spans="1:6">
      <c r="A68" s="22"/>
      <c r="B68" s="22"/>
      <c r="C68" s="22"/>
      <c r="D68" s="22" t="s">
        <v>104</v>
      </c>
      <c r="E68" s="22"/>
      <c r="F68" s="23">
        <v>0</v>
      </c>
    </row>
    <row r="69" spans="1:6">
      <c r="A69" s="22"/>
      <c r="B69" s="22"/>
      <c r="C69" s="22"/>
      <c r="D69" s="22" t="s">
        <v>105</v>
      </c>
      <c r="E69" s="22"/>
      <c r="F69" s="23">
        <v>0</v>
      </c>
    </row>
    <row r="70" spans="1:6">
      <c r="A70" s="22"/>
      <c r="B70" s="22"/>
      <c r="C70" s="22"/>
      <c r="D70" s="22" t="s">
        <v>106</v>
      </c>
      <c r="E70" s="22"/>
      <c r="F70" s="23">
        <v>668334</v>
      </c>
    </row>
    <row r="71" spans="1:6">
      <c r="A71" s="22"/>
      <c r="B71" s="22"/>
      <c r="C71" s="22"/>
      <c r="D71" s="22"/>
      <c r="E71" s="22" t="s">
        <v>107</v>
      </c>
      <c r="F71" s="27">
        <v>621706</v>
      </c>
    </row>
    <row r="72" spans="1:6">
      <c r="A72" s="22"/>
      <c r="B72" s="22"/>
      <c r="C72" s="22"/>
      <c r="D72" s="22"/>
      <c r="E72" s="22" t="s">
        <v>108</v>
      </c>
      <c r="F72" s="27">
        <v>15994</v>
      </c>
    </row>
    <row r="73" spans="1:6">
      <c r="A73" s="22"/>
      <c r="B73" s="22"/>
      <c r="C73" s="22"/>
      <c r="D73" s="22"/>
      <c r="E73" s="22" t="s">
        <v>109</v>
      </c>
      <c r="F73" s="27">
        <v>10735</v>
      </c>
    </row>
    <row r="74" spans="1:6">
      <c r="A74" s="22"/>
      <c r="B74" s="22"/>
      <c r="C74" s="22"/>
      <c r="D74" s="22"/>
      <c r="E74" s="22" t="s">
        <v>110</v>
      </c>
      <c r="F74" s="28">
        <v>19171</v>
      </c>
    </row>
    <row r="75" spans="1:6">
      <c r="A75" s="22"/>
      <c r="B75" s="22"/>
      <c r="C75" s="22"/>
      <c r="D75" s="22"/>
      <c r="E75" s="22" t="s">
        <v>111</v>
      </c>
      <c r="F75" s="28">
        <v>728</v>
      </c>
    </row>
    <row r="76" spans="1:6">
      <c r="A76" s="22"/>
      <c r="B76" s="22"/>
      <c r="C76" s="22" t="s">
        <v>112</v>
      </c>
      <c r="D76" s="22"/>
      <c r="E76" s="22"/>
      <c r="F76" s="23">
        <v>34815</v>
      </c>
    </row>
    <row r="77" spans="1:6">
      <c r="A77" s="22"/>
      <c r="B77" s="22"/>
      <c r="C77" s="22"/>
      <c r="D77" s="22" t="s">
        <v>113</v>
      </c>
      <c r="E77" s="22"/>
      <c r="F77" s="27">
        <v>6069</v>
      </c>
    </row>
    <row r="78" spans="1:6">
      <c r="A78" s="22"/>
      <c r="B78" s="22"/>
      <c r="C78" s="22"/>
      <c r="D78" s="22" t="s">
        <v>114</v>
      </c>
      <c r="E78" s="22"/>
      <c r="F78" s="27">
        <v>454</v>
      </c>
    </row>
    <row r="79" spans="1:6">
      <c r="A79" s="22"/>
      <c r="B79" s="22"/>
      <c r="C79" s="22"/>
      <c r="D79" s="22" t="s">
        <v>115</v>
      </c>
      <c r="E79" s="22"/>
      <c r="F79" s="28">
        <v>10</v>
      </c>
    </row>
    <row r="80" spans="1:6">
      <c r="A80" s="22"/>
      <c r="B80" s="22"/>
      <c r="C80" s="22"/>
      <c r="D80" s="22" t="s">
        <v>116</v>
      </c>
      <c r="E80" s="22"/>
      <c r="F80" s="28">
        <v>73</v>
      </c>
    </row>
    <row r="81" spans="1:6">
      <c r="A81" s="22"/>
      <c r="B81" s="22"/>
      <c r="C81" s="22"/>
      <c r="D81" s="22" t="s">
        <v>117</v>
      </c>
      <c r="E81" s="22"/>
      <c r="F81" s="28">
        <v>14695</v>
      </c>
    </row>
    <row r="82" spans="1:6">
      <c r="A82" s="22"/>
      <c r="B82" s="22"/>
      <c r="C82" s="22"/>
      <c r="D82" s="22" t="s">
        <v>118</v>
      </c>
      <c r="E82" s="22"/>
      <c r="F82" s="28">
        <v>13514</v>
      </c>
    </row>
    <row r="83" spans="1:6">
      <c r="A83" s="22"/>
      <c r="B83" s="22" t="s">
        <v>119</v>
      </c>
      <c r="C83" s="22"/>
      <c r="D83" s="22"/>
      <c r="E83" s="22"/>
      <c r="F83" s="23">
        <v>3592586</v>
      </c>
    </row>
    <row r="84" spans="1:6">
      <c r="A84" s="22"/>
      <c r="B84" s="22"/>
      <c r="C84" s="22" t="s">
        <v>120</v>
      </c>
      <c r="D84" s="22"/>
      <c r="E84" s="22"/>
      <c r="F84" s="23">
        <v>2547598</v>
      </c>
    </row>
    <row r="85" spans="1:6">
      <c r="A85" s="22"/>
      <c r="B85" s="22"/>
      <c r="C85" s="22"/>
      <c r="D85" s="22" t="s">
        <v>121</v>
      </c>
      <c r="E85" s="22"/>
      <c r="F85" s="30">
        <v>309178</v>
      </c>
    </row>
    <row r="86" spans="1:6">
      <c r="A86" s="22"/>
      <c r="B86" s="22"/>
      <c r="C86" s="22"/>
      <c r="D86" s="22" t="s">
        <v>122</v>
      </c>
      <c r="E86" s="22"/>
      <c r="F86" s="30">
        <v>2238420</v>
      </c>
    </row>
    <row r="87" spans="1:6">
      <c r="A87" s="22"/>
      <c r="B87" s="22"/>
      <c r="C87" s="22"/>
      <c r="D87" s="22"/>
      <c r="E87" s="22" t="s">
        <v>123</v>
      </c>
      <c r="F87" s="30">
        <v>1779618</v>
      </c>
    </row>
    <row r="88" spans="1:6">
      <c r="A88" s="22"/>
      <c r="B88" s="22"/>
      <c r="C88" s="22"/>
      <c r="D88" s="22"/>
      <c r="E88" s="22" t="s">
        <v>124</v>
      </c>
      <c r="F88" s="30">
        <v>174183</v>
      </c>
    </row>
    <row r="89" spans="1:6">
      <c r="A89" s="22"/>
      <c r="B89" s="22"/>
      <c r="C89" s="22"/>
      <c r="D89" s="22"/>
      <c r="E89" s="22" t="s">
        <v>125</v>
      </c>
      <c r="F89" s="30">
        <v>131632</v>
      </c>
    </row>
    <row r="90" spans="1:6">
      <c r="A90" s="22"/>
      <c r="B90" s="22"/>
      <c r="C90" s="22"/>
      <c r="D90" s="22"/>
      <c r="E90" s="22" t="s">
        <v>126</v>
      </c>
      <c r="F90" s="31">
        <v>75068</v>
      </c>
    </row>
    <row r="91" spans="1:6">
      <c r="A91" s="22"/>
      <c r="B91" s="22"/>
      <c r="C91" s="22"/>
      <c r="D91" s="22"/>
      <c r="E91" s="22" t="s">
        <v>127</v>
      </c>
      <c r="F91" s="31">
        <v>13203</v>
      </c>
    </row>
    <row r="92" spans="1:6">
      <c r="A92" s="22"/>
      <c r="B92" s="22"/>
      <c r="C92" s="22"/>
      <c r="D92" s="22"/>
      <c r="E92" s="22" t="s">
        <v>128</v>
      </c>
      <c r="F92" s="31">
        <v>7824</v>
      </c>
    </row>
    <row r="93" spans="1:6">
      <c r="A93" s="22"/>
      <c r="B93" s="22"/>
      <c r="C93" s="22"/>
      <c r="D93" s="22"/>
      <c r="E93" s="22" t="s">
        <v>129</v>
      </c>
      <c r="F93" s="31">
        <v>56892</v>
      </c>
    </row>
    <row r="94" spans="1:6">
      <c r="A94" s="22"/>
      <c r="B94" s="22"/>
      <c r="C94" s="22" t="s">
        <v>130</v>
      </c>
      <c r="D94" s="22"/>
      <c r="E94" s="22"/>
      <c r="F94" s="23">
        <v>55068</v>
      </c>
    </row>
    <row r="95" spans="1:6">
      <c r="A95" s="22"/>
      <c r="B95" s="22"/>
      <c r="C95" s="22"/>
      <c r="D95" s="22"/>
      <c r="E95" s="22" t="s">
        <v>131</v>
      </c>
      <c r="F95" s="30">
        <v>32396</v>
      </c>
    </row>
    <row r="96" spans="1:6">
      <c r="A96" s="22"/>
      <c r="B96" s="22"/>
      <c r="C96" s="22"/>
      <c r="D96" s="22"/>
      <c r="E96" s="22" t="s">
        <v>132</v>
      </c>
      <c r="F96" s="30">
        <v>15324</v>
      </c>
    </row>
    <row r="97" spans="1:6">
      <c r="A97" s="22"/>
      <c r="B97" s="22"/>
      <c r="C97" s="22"/>
      <c r="D97" s="22"/>
      <c r="E97" s="22" t="s">
        <v>133</v>
      </c>
      <c r="F97" s="31">
        <v>6967</v>
      </c>
    </row>
    <row r="98" spans="1:6">
      <c r="A98" s="22"/>
      <c r="B98" s="22"/>
      <c r="C98" s="22"/>
      <c r="D98" s="22"/>
      <c r="E98" s="22" t="s">
        <v>134</v>
      </c>
      <c r="F98" s="31">
        <v>381</v>
      </c>
    </row>
    <row r="99" spans="1:6">
      <c r="A99" s="22"/>
      <c r="B99" s="22"/>
      <c r="C99" s="22" t="s">
        <v>135</v>
      </c>
      <c r="D99" s="22"/>
      <c r="E99" s="22"/>
      <c r="F99" s="23">
        <v>421081</v>
      </c>
    </row>
    <row r="100" spans="1:6">
      <c r="A100" s="22"/>
      <c r="B100" s="22"/>
      <c r="C100" s="22"/>
      <c r="D100" s="22"/>
      <c r="E100" s="22" t="s">
        <v>136</v>
      </c>
      <c r="F100" s="30">
        <v>416907</v>
      </c>
    </row>
    <row r="101" spans="1:6">
      <c r="A101" s="22"/>
      <c r="B101" s="22"/>
      <c r="C101" s="22"/>
      <c r="D101" s="22"/>
      <c r="E101" s="22" t="s">
        <v>137</v>
      </c>
      <c r="F101" s="30">
        <v>3964</v>
      </c>
    </row>
    <row r="102" spans="1:6">
      <c r="A102" s="22"/>
      <c r="B102" s="22"/>
      <c r="C102" s="22"/>
      <c r="D102" s="22"/>
      <c r="E102" s="22" t="s">
        <v>138</v>
      </c>
      <c r="F102" s="31">
        <v>210</v>
      </c>
    </row>
    <row r="103" spans="1:6">
      <c r="A103" s="22"/>
      <c r="B103" s="22"/>
      <c r="C103" s="22" t="s">
        <v>139</v>
      </c>
      <c r="D103" s="22"/>
      <c r="E103" s="22"/>
      <c r="F103" s="23">
        <v>568839</v>
      </c>
    </row>
    <row r="104" spans="1:6">
      <c r="A104" s="22"/>
      <c r="B104" s="22"/>
      <c r="C104" s="22"/>
      <c r="D104" s="22" t="s">
        <v>140</v>
      </c>
      <c r="E104" s="22"/>
      <c r="F104" s="31">
        <v>14875</v>
      </c>
    </row>
    <row r="105" spans="1:6">
      <c r="A105" s="22"/>
      <c r="B105" s="22"/>
      <c r="C105" s="22"/>
      <c r="D105" s="22" t="s">
        <v>141</v>
      </c>
      <c r="E105" s="22"/>
      <c r="F105" s="31">
        <v>1922</v>
      </c>
    </row>
    <row r="106" spans="1:6">
      <c r="A106" s="22"/>
      <c r="B106" s="22"/>
      <c r="C106" s="22"/>
      <c r="D106" s="22" t="s">
        <v>142</v>
      </c>
      <c r="E106" s="22"/>
      <c r="F106" s="31">
        <v>1232</v>
      </c>
    </row>
    <row r="107" spans="1:6">
      <c r="A107" s="22"/>
      <c r="B107" s="22"/>
      <c r="C107" s="22"/>
      <c r="D107" s="22" t="s">
        <v>143</v>
      </c>
      <c r="E107" s="22"/>
      <c r="F107" s="31">
        <v>4489</v>
      </c>
    </row>
    <row r="108" spans="1:6">
      <c r="A108" s="22"/>
      <c r="B108" s="22"/>
      <c r="C108" s="22"/>
      <c r="D108" s="22" t="s">
        <v>144</v>
      </c>
      <c r="E108" s="22"/>
      <c r="F108" s="31">
        <v>129468</v>
      </c>
    </row>
    <row r="109" spans="1:6">
      <c r="A109" s="22"/>
      <c r="B109" s="22"/>
      <c r="C109" s="22"/>
      <c r="D109" s="22" t="s">
        <v>145</v>
      </c>
      <c r="E109" s="22"/>
      <c r="F109" s="31">
        <v>2122</v>
      </c>
    </row>
    <row r="110" spans="1:6">
      <c r="A110" s="22"/>
      <c r="B110" s="22"/>
      <c r="C110" s="22"/>
      <c r="D110" s="22" t="s">
        <v>146</v>
      </c>
      <c r="E110" s="22"/>
      <c r="F110" s="31">
        <v>14791</v>
      </c>
    </row>
    <row r="111" spans="1:6">
      <c r="A111" s="22"/>
      <c r="B111" s="22"/>
      <c r="C111" s="22"/>
      <c r="D111" s="22"/>
      <c r="E111" s="22" t="s">
        <v>147</v>
      </c>
      <c r="F111" s="23">
        <v>294</v>
      </c>
    </row>
    <row r="112" spans="1:6">
      <c r="A112" s="22"/>
      <c r="B112" s="22"/>
      <c r="C112" s="22"/>
      <c r="D112" s="22"/>
      <c r="E112" s="22" t="s">
        <v>148</v>
      </c>
      <c r="F112" s="23">
        <v>88</v>
      </c>
    </row>
    <row r="113" spans="1:6">
      <c r="A113" s="22"/>
      <c r="B113" s="22"/>
      <c r="C113" s="22"/>
      <c r="D113" s="22"/>
      <c r="E113" s="22" t="s">
        <v>149</v>
      </c>
      <c r="F113" s="23">
        <v>12385</v>
      </c>
    </row>
    <row r="114" spans="1:6">
      <c r="A114" s="22"/>
      <c r="B114" s="22"/>
      <c r="C114" s="22"/>
      <c r="D114" s="22"/>
      <c r="E114" s="22" t="s">
        <v>150</v>
      </c>
      <c r="F114" s="23">
        <v>44</v>
      </c>
    </row>
    <row r="115" spans="1:6">
      <c r="A115" s="22"/>
      <c r="B115" s="22"/>
      <c r="C115" s="22"/>
      <c r="D115" s="22"/>
      <c r="E115" s="22" t="s">
        <v>151</v>
      </c>
      <c r="F115" s="23">
        <v>1980</v>
      </c>
    </row>
    <row r="116" spans="1:6">
      <c r="A116" s="22"/>
      <c r="B116" s="22"/>
      <c r="C116" s="22"/>
      <c r="D116" s="22" t="s">
        <v>152</v>
      </c>
      <c r="E116" s="22"/>
      <c r="F116" s="31">
        <v>9325</v>
      </c>
    </row>
    <row r="117" spans="1:6">
      <c r="A117" s="22"/>
      <c r="B117" s="22"/>
      <c r="C117" s="22"/>
      <c r="D117" s="22"/>
      <c r="E117" s="22" t="s">
        <v>153</v>
      </c>
      <c r="F117" s="23">
        <v>262</v>
      </c>
    </row>
    <row r="118" spans="1:6">
      <c r="A118" s="22"/>
      <c r="B118" s="22"/>
      <c r="C118" s="22"/>
      <c r="D118" s="22"/>
      <c r="E118" s="22" t="s">
        <v>154</v>
      </c>
      <c r="F118" s="23">
        <v>531</v>
      </c>
    </row>
    <row r="119" spans="1:6">
      <c r="A119" s="22"/>
      <c r="B119" s="22"/>
      <c r="C119" s="22"/>
      <c r="D119" s="22"/>
      <c r="E119" s="22" t="s">
        <v>155</v>
      </c>
      <c r="F119" s="23">
        <v>213</v>
      </c>
    </row>
    <row r="120" spans="1:6">
      <c r="A120" s="22"/>
      <c r="B120" s="22"/>
      <c r="C120" s="22"/>
      <c r="D120" s="22"/>
      <c r="E120" s="22" t="s">
        <v>156</v>
      </c>
      <c r="F120" s="23">
        <v>8319</v>
      </c>
    </row>
    <row r="121" spans="1:6">
      <c r="A121" s="22"/>
      <c r="B121" s="22"/>
      <c r="C121" s="22"/>
      <c r="D121" s="22" t="s">
        <v>157</v>
      </c>
      <c r="E121" s="22"/>
      <c r="F121" s="31">
        <v>96639</v>
      </c>
    </row>
    <row r="122" spans="1:6">
      <c r="A122" s="22"/>
      <c r="B122" s="22"/>
      <c r="C122" s="22"/>
      <c r="D122" s="22"/>
      <c r="E122" s="22" t="s">
        <v>158</v>
      </c>
      <c r="F122" s="23">
        <v>8366</v>
      </c>
    </row>
    <row r="123" spans="1:6">
      <c r="A123" s="22"/>
      <c r="B123" s="22"/>
      <c r="C123" s="22"/>
      <c r="D123" s="22"/>
      <c r="E123" s="22" t="s">
        <v>159</v>
      </c>
      <c r="F123" s="23">
        <v>4034</v>
      </c>
    </row>
    <row r="124" spans="1:6">
      <c r="A124" s="22"/>
      <c r="B124" s="22"/>
      <c r="C124" s="22"/>
      <c r="D124" s="22"/>
      <c r="E124" s="22" t="s">
        <v>160</v>
      </c>
      <c r="F124" s="23">
        <v>12936</v>
      </c>
    </row>
    <row r="125" spans="1:6">
      <c r="A125" s="22"/>
      <c r="B125" s="22"/>
      <c r="C125" s="22"/>
      <c r="D125" s="22"/>
      <c r="E125" s="22" t="s">
        <v>161</v>
      </c>
      <c r="F125" s="23">
        <v>30188</v>
      </c>
    </row>
    <row r="126" spans="1:6">
      <c r="A126" s="22"/>
      <c r="B126" s="22"/>
      <c r="C126" s="22"/>
      <c r="D126" s="22"/>
      <c r="E126" s="22" t="s">
        <v>162</v>
      </c>
      <c r="F126" s="23">
        <v>41115</v>
      </c>
    </row>
    <row r="127" spans="1:6">
      <c r="A127" s="22"/>
      <c r="B127" s="22"/>
      <c r="C127" s="22"/>
      <c r="D127" s="22" t="s">
        <v>163</v>
      </c>
      <c r="E127" s="22"/>
      <c r="F127" s="31">
        <v>293976</v>
      </c>
    </row>
    <row r="128" spans="1:6">
      <c r="A128" s="22"/>
      <c r="B128" s="22" t="s">
        <v>164</v>
      </c>
      <c r="C128" s="22"/>
      <c r="D128" s="22"/>
      <c r="E128" s="22"/>
      <c r="F128" s="23">
        <v>95464</v>
      </c>
    </row>
    <row r="129" spans="1:6">
      <c r="A129" s="22"/>
      <c r="B129" s="22"/>
      <c r="C129" s="22" t="s">
        <v>165</v>
      </c>
      <c r="D129" s="22"/>
      <c r="E129" s="22"/>
      <c r="F129" s="23">
        <v>12141</v>
      </c>
    </row>
    <row r="130" spans="1:6">
      <c r="A130" s="22"/>
      <c r="B130" s="22"/>
      <c r="C130" s="22"/>
      <c r="D130" s="22"/>
      <c r="E130" s="22" t="s">
        <v>166</v>
      </c>
      <c r="F130" s="30">
        <v>11613</v>
      </c>
    </row>
    <row r="131" spans="1:6">
      <c r="A131" s="22"/>
      <c r="B131" s="22"/>
      <c r="C131" s="22"/>
      <c r="D131" s="22"/>
      <c r="E131" s="22" t="s">
        <v>167</v>
      </c>
      <c r="F131" s="30">
        <v>328</v>
      </c>
    </row>
    <row r="132" spans="1:6">
      <c r="A132" s="22"/>
      <c r="B132" s="22"/>
      <c r="C132" s="22"/>
      <c r="D132" s="22"/>
      <c r="E132" s="22" t="s">
        <v>168</v>
      </c>
      <c r="F132" s="31">
        <v>200</v>
      </c>
    </row>
    <row r="133" spans="1:6">
      <c r="A133" s="22"/>
      <c r="B133" s="22"/>
      <c r="C133" s="22" t="s">
        <v>169</v>
      </c>
      <c r="D133" s="22"/>
      <c r="E133" s="22"/>
      <c r="F133" s="23">
        <v>39348</v>
      </c>
    </row>
    <row r="134" spans="1:6">
      <c r="A134" s="22"/>
      <c r="B134" s="22"/>
      <c r="C134" s="22"/>
      <c r="D134" s="22"/>
      <c r="E134" s="22" t="s">
        <v>170</v>
      </c>
      <c r="F134" s="30">
        <v>597</v>
      </c>
    </row>
    <row r="135" spans="1:6">
      <c r="A135" s="22"/>
      <c r="B135" s="22"/>
      <c r="C135" s="22"/>
      <c r="D135" s="22"/>
      <c r="E135" s="22" t="s">
        <v>171</v>
      </c>
      <c r="F135" s="30">
        <v>405</v>
      </c>
    </row>
    <row r="136" spans="1:6">
      <c r="A136" s="22"/>
      <c r="B136" s="22"/>
      <c r="C136" s="22"/>
      <c r="D136" s="22"/>
      <c r="E136" s="22" t="s">
        <v>172</v>
      </c>
      <c r="F136" s="31">
        <v>38346</v>
      </c>
    </row>
    <row r="137" spans="1:6">
      <c r="A137" s="22"/>
      <c r="B137" s="22"/>
      <c r="C137" s="22" t="s">
        <v>173</v>
      </c>
      <c r="D137" s="22"/>
      <c r="E137" s="22"/>
      <c r="F137" s="23">
        <v>43975</v>
      </c>
    </row>
    <row r="138" spans="1:6">
      <c r="A138" s="22"/>
      <c r="B138" s="22"/>
      <c r="C138" s="22"/>
      <c r="D138" s="22" t="s">
        <v>174</v>
      </c>
      <c r="E138" s="22"/>
      <c r="F138" s="31">
        <v>22085</v>
      </c>
    </row>
    <row r="139" spans="1:6">
      <c r="A139" s="22"/>
      <c r="B139" s="22"/>
      <c r="C139" s="22"/>
      <c r="D139" s="22" t="s">
        <v>175</v>
      </c>
      <c r="E139" s="22"/>
      <c r="F139" s="31">
        <v>1016</v>
      </c>
    </row>
    <row r="140" spans="1:6">
      <c r="A140" s="22"/>
      <c r="B140" s="22"/>
      <c r="C140" s="22"/>
      <c r="D140" s="22" t="s">
        <v>176</v>
      </c>
      <c r="E140" s="22"/>
      <c r="F140" s="31">
        <v>2</v>
      </c>
    </row>
    <row r="141" spans="1:6">
      <c r="A141" s="22"/>
      <c r="B141" s="22"/>
      <c r="C141" s="22"/>
      <c r="D141" s="22" t="s">
        <v>177</v>
      </c>
      <c r="E141" s="22"/>
      <c r="F141" s="31">
        <v>1311</v>
      </c>
    </row>
    <row r="142" spans="1:6">
      <c r="A142" s="22"/>
      <c r="B142" s="22"/>
      <c r="C142" s="22"/>
      <c r="D142" s="22" t="s">
        <v>178</v>
      </c>
      <c r="E142" s="22"/>
      <c r="F142" s="31">
        <v>19561</v>
      </c>
    </row>
    <row r="144" spans="1:6">
      <c r="A144" s="184" t="s">
        <v>620</v>
      </c>
    </row>
    <row r="145" spans="1:1">
      <c r="A145" s="17" t="s">
        <v>990</v>
      </c>
    </row>
  </sheetData>
  <phoneticPr fontId="4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A6F4-DB7F-4613-A255-237C3DDC31EF}">
  <dimension ref="A1:H41"/>
  <sheetViews>
    <sheetView workbookViewId="0">
      <selection activeCell="P17" sqref="P17"/>
    </sheetView>
  </sheetViews>
  <sheetFormatPr defaultColWidth="9" defaultRowHeight="13.5"/>
  <cols>
    <col min="1" max="4" width="9" style="103"/>
    <col min="5" max="5" width="8" style="103" customWidth="1"/>
    <col min="6" max="6" width="10.875" style="103" bestFit="1" customWidth="1"/>
    <col min="7" max="16384" width="9" style="103"/>
  </cols>
  <sheetData>
    <row r="1" spans="1:8" ht="17.25" customHeight="1">
      <c r="A1" s="376" t="s">
        <v>187</v>
      </c>
      <c r="B1" s="376"/>
      <c r="C1" s="376"/>
      <c r="D1" s="376"/>
      <c r="E1" s="376"/>
    </row>
    <row r="2" spans="1:8" ht="27">
      <c r="A2" s="383" t="s">
        <v>188</v>
      </c>
      <c r="B2" s="383" t="s">
        <v>26</v>
      </c>
      <c r="C2" s="383" t="s">
        <v>27</v>
      </c>
      <c r="D2" s="383" t="s">
        <v>28</v>
      </c>
      <c r="E2" s="144" t="s">
        <v>417</v>
      </c>
      <c r="F2" s="386" t="s">
        <v>219</v>
      </c>
      <c r="G2" s="387"/>
    </row>
    <row r="3" spans="1:8" ht="32.25" customHeight="1" thickBot="1">
      <c r="A3" s="384"/>
      <c r="B3" s="385"/>
      <c r="C3" s="385"/>
      <c r="D3" s="385"/>
      <c r="E3" s="118" t="s">
        <v>12</v>
      </c>
      <c r="F3" s="119" t="s">
        <v>194</v>
      </c>
      <c r="G3" s="183" t="s">
        <v>418</v>
      </c>
      <c r="H3" s="120" t="s">
        <v>220</v>
      </c>
    </row>
    <row r="4" spans="1:8" ht="14.25" thickTop="1">
      <c r="A4" s="377" t="s">
        <v>11</v>
      </c>
      <c r="B4" s="117" t="s">
        <v>37</v>
      </c>
      <c r="C4" s="109" t="s">
        <v>37</v>
      </c>
      <c r="D4" s="109" t="s">
        <v>37</v>
      </c>
      <c r="E4" s="109">
        <v>38.5</v>
      </c>
      <c r="F4" s="110"/>
      <c r="G4" s="111"/>
    </row>
    <row r="5" spans="1:8">
      <c r="A5" s="378" t="s">
        <v>11</v>
      </c>
      <c r="B5" s="379" t="s">
        <v>13</v>
      </c>
      <c r="C5" s="107" t="s">
        <v>37</v>
      </c>
      <c r="D5" s="107" t="s">
        <v>37</v>
      </c>
      <c r="E5" s="107">
        <v>35.1</v>
      </c>
      <c r="F5" s="106"/>
      <c r="G5" s="112"/>
    </row>
    <row r="6" spans="1:8">
      <c r="A6" s="378" t="s">
        <v>11</v>
      </c>
      <c r="B6" s="379" t="s">
        <v>13</v>
      </c>
      <c r="C6" s="380" t="s">
        <v>29</v>
      </c>
      <c r="D6" s="107" t="s">
        <v>37</v>
      </c>
      <c r="E6" s="107">
        <v>33.6</v>
      </c>
      <c r="F6" s="106"/>
      <c r="G6" s="112"/>
    </row>
    <row r="7" spans="1:8">
      <c r="A7" s="378" t="s">
        <v>11</v>
      </c>
      <c r="B7" s="379" t="s">
        <v>13</v>
      </c>
      <c r="C7" s="380" t="s">
        <v>29</v>
      </c>
      <c r="D7" s="107" t="s">
        <v>30</v>
      </c>
      <c r="E7" s="107">
        <v>25</v>
      </c>
      <c r="F7" s="108">
        <f>SUM('SYVbT_DV-Regis'!F8:F9,'SYVbT_DV-Regis'!F22:F23,'SYVbT_DV-Regis'!F19:F20,'SYVbT_DV-Regis'!F33:F34)</f>
        <v>1920057</v>
      </c>
      <c r="G7" s="112">
        <f>SUMPRODUCT(E7:E10,F7:F10)/SUM(F7:F10)</f>
        <v>32.980492975254862</v>
      </c>
    </row>
    <row r="8" spans="1:8">
      <c r="A8" s="378" t="s">
        <v>11</v>
      </c>
      <c r="B8" s="379" t="s">
        <v>13</v>
      </c>
      <c r="C8" s="380" t="s">
        <v>29</v>
      </c>
      <c r="D8" s="107" t="s">
        <v>31</v>
      </c>
      <c r="E8" s="107">
        <v>20.6</v>
      </c>
      <c r="F8" s="108">
        <f>SUM('SYVbT_DV-Regis'!F10,'SYVbT_DV-Regis'!F24,'SYVbT_DV-Regis'!F36)</f>
        <v>1003047</v>
      </c>
      <c r="G8" s="112"/>
    </row>
    <row r="9" spans="1:8">
      <c r="A9" s="378" t="s">
        <v>11</v>
      </c>
      <c r="B9" s="379" t="s">
        <v>13</v>
      </c>
      <c r="C9" s="380" t="s">
        <v>29</v>
      </c>
      <c r="D9" s="107" t="s">
        <v>32</v>
      </c>
      <c r="E9" s="107">
        <v>35.1</v>
      </c>
      <c r="F9" s="108">
        <f>SUM('SYVbT_DV-Regis'!F11,'SYVbT_DV-Regis'!F25,'SYVbT_DV-Regis'!F37)</f>
        <v>7024499</v>
      </c>
      <c r="G9" s="112"/>
    </row>
    <row r="10" spans="1:8">
      <c r="A10" s="378" t="s">
        <v>11</v>
      </c>
      <c r="B10" s="379" t="s">
        <v>13</v>
      </c>
      <c r="C10" s="380" t="s">
        <v>29</v>
      </c>
      <c r="D10" s="107" t="s">
        <v>33</v>
      </c>
      <c r="E10" s="107">
        <v>36.6</v>
      </c>
      <c r="F10" s="108">
        <f>SUM('SYVbT_DV-Regis'!F12:F18,'SYVbT_DV-Regis'!F26:F32,'SYVbT_DV-Regis'!F38:F41)</f>
        <v>3550965</v>
      </c>
      <c r="G10" s="112"/>
    </row>
    <row r="11" spans="1:8">
      <c r="A11" s="378" t="s">
        <v>11</v>
      </c>
      <c r="B11" s="379" t="s">
        <v>13</v>
      </c>
      <c r="C11" s="380" t="s">
        <v>34</v>
      </c>
      <c r="D11" s="107" t="s">
        <v>37</v>
      </c>
      <c r="E11" s="107">
        <v>39.1</v>
      </c>
      <c r="F11" s="108"/>
      <c r="G11" s="112"/>
    </row>
    <row r="12" spans="1:8">
      <c r="A12" s="378" t="s">
        <v>11</v>
      </c>
      <c r="B12" s="379" t="s">
        <v>13</v>
      </c>
      <c r="C12" s="380" t="s">
        <v>34</v>
      </c>
      <c r="D12" s="107" t="s">
        <v>32</v>
      </c>
      <c r="E12" s="107">
        <v>39.200000000000003</v>
      </c>
      <c r="F12" s="108">
        <f>SUM('SYVbT_DV-Regis'!F45:F46,'SYVbT_DV-Regis'!F51:F52)</f>
        <v>3131035</v>
      </c>
      <c r="G12" s="112">
        <f>SUMPRODUCT(E12:E13,F12:F13)/SUM(F12:F13)</f>
        <v>39.106086312625472</v>
      </c>
    </row>
    <row r="13" spans="1:8">
      <c r="A13" s="378" t="s">
        <v>11</v>
      </c>
      <c r="B13" s="379" t="s">
        <v>13</v>
      </c>
      <c r="C13" s="380" t="s">
        <v>34</v>
      </c>
      <c r="D13" s="107" t="s">
        <v>33</v>
      </c>
      <c r="E13" s="107">
        <v>38.9</v>
      </c>
      <c r="F13" s="108">
        <f>SUM('SYVbT_DV-Regis'!F47:F50)</f>
        <v>1426815</v>
      </c>
      <c r="G13" s="112"/>
    </row>
    <row r="14" spans="1:8">
      <c r="A14" s="378" t="s">
        <v>11</v>
      </c>
      <c r="B14" s="379" t="s">
        <v>13</v>
      </c>
      <c r="C14" s="107" t="s">
        <v>189</v>
      </c>
      <c r="D14" s="107" t="s">
        <v>37</v>
      </c>
      <c r="E14" s="107">
        <v>37.700000000000003</v>
      </c>
      <c r="F14" s="108">
        <f>'SYVbT_DV-Regis'!F53</f>
        <v>1121099</v>
      </c>
      <c r="G14" s="112"/>
      <c r="H14" s="103" t="s">
        <v>197</v>
      </c>
    </row>
    <row r="15" spans="1:8">
      <c r="A15" s="378" t="s">
        <v>11</v>
      </c>
      <c r="B15" s="379" t="s">
        <v>14</v>
      </c>
      <c r="C15" s="107" t="s">
        <v>37</v>
      </c>
      <c r="D15" s="107" t="s">
        <v>37</v>
      </c>
      <c r="E15" s="107">
        <v>59.2</v>
      </c>
      <c r="F15" s="108"/>
      <c r="G15" s="112"/>
    </row>
    <row r="16" spans="1:8">
      <c r="A16" s="378" t="s">
        <v>11</v>
      </c>
      <c r="B16" s="379" t="s">
        <v>14</v>
      </c>
      <c r="C16" s="380" t="s">
        <v>29</v>
      </c>
      <c r="D16" s="107" t="s">
        <v>37</v>
      </c>
      <c r="E16" s="107">
        <v>60.5</v>
      </c>
      <c r="F16" s="108"/>
      <c r="G16" s="112"/>
    </row>
    <row r="17" spans="1:8">
      <c r="A17" s="378" t="s">
        <v>11</v>
      </c>
      <c r="B17" s="379" t="s">
        <v>14</v>
      </c>
      <c r="C17" s="380" t="s">
        <v>29</v>
      </c>
      <c r="D17" s="107" t="s">
        <v>31</v>
      </c>
      <c r="E17" s="107">
        <v>34</v>
      </c>
      <c r="F17" s="108">
        <f>SUM('SYVbT_DV-Regis'!F71)</f>
        <v>621706</v>
      </c>
      <c r="G17" s="112">
        <f>SUMPRODUCT(E17:E19,F17:F19)/SUM(F17:F19)</f>
        <v>60.36459077664405</v>
      </c>
    </row>
    <row r="18" spans="1:8">
      <c r="A18" s="378" t="s">
        <v>11</v>
      </c>
      <c r="B18" s="379" t="s">
        <v>14</v>
      </c>
      <c r="C18" s="380" t="s">
        <v>29</v>
      </c>
      <c r="D18" s="107" t="s">
        <v>32</v>
      </c>
      <c r="E18" s="107">
        <v>43.4</v>
      </c>
      <c r="F18" s="108">
        <f>SUM('SYVbT_DV-Regis'!F72:F73)</f>
        <v>26729</v>
      </c>
      <c r="G18" s="112"/>
    </row>
    <row r="19" spans="1:8">
      <c r="A19" s="378" t="s">
        <v>11</v>
      </c>
      <c r="B19" s="379" t="s">
        <v>14</v>
      </c>
      <c r="C19" s="380" t="s">
        <v>29</v>
      </c>
      <c r="D19" s="107" t="s">
        <v>33</v>
      </c>
      <c r="E19" s="107">
        <v>191.4</v>
      </c>
      <c r="F19" s="108">
        <f>SUM('SYVbT_DV-Regis'!F64:F67,'SYVbT_DV-Regis'!F74:F75)</f>
        <v>128549</v>
      </c>
      <c r="G19" s="112"/>
    </row>
    <row r="20" spans="1:8" ht="14.25" thickBot="1">
      <c r="A20" s="378" t="s">
        <v>11</v>
      </c>
      <c r="B20" s="381" t="s">
        <v>14</v>
      </c>
      <c r="C20" s="113" t="s">
        <v>190</v>
      </c>
      <c r="D20" s="113" t="s">
        <v>37</v>
      </c>
      <c r="E20" s="113">
        <v>28.2</v>
      </c>
      <c r="F20" s="114">
        <f>'SYVbT_DV-Regis'!F76</f>
        <v>34815</v>
      </c>
      <c r="G20" s="115"/>
      <c r="H20" s="103" t="s">
        <v>217</v>
      </c>
    </row>
    <row r="21" spans="1:8">
      <c r="A21" s="378" t="s">
        <v>11</v>
      </c>
      <c r="B21" s="382" t="s">
        <v>15</v>
      </c>
      <c r="C21" s="109" t="s">
        <v>37</v>
      </c>
      <c r="D21" s="109" t="s">
        <v>37</v>
      </c>
      <c r="E21" s="109">
        <v>49.4</v>
      </c>
      <c r="F21" s="116"/>
      <c r="G21" s="111"/>
    </row>
    <row r="22" spans="1:8">
      <c r="A22" s="378" t="s">
        <v>11</v>
      </c>
      <c r="B22" s="379" t="s">
        <v>15</v>
      </c>
      <c r="C22" s="380" t="s">
        <v>29</v>
      </c>
      <c r="D22" s="107" t="s">
        <v>37</v>
      </c>
      <c r="E22" s="107">
        <v>48.3</v>
      </c>
      <c r="F22" s="108"/>
      <c r="G22" s="112"/>
    </row>
    <row r="23" spans="1:8">
      <c r="A23" s="378" t="s">
        <v>11</v>
      </c>
      <c r="B23" s="379" t="s">
        <v>15</v>
      </c>
      <c r="C23" s="380" t="s">
        <v>29</v>
      </c>
      <c r="D23" s="107" t="s">
        <v>31</v>
      </c>
      <c r="E23" s="107">
        <v>39.700000000000003</v>
      </c>
      <c r="F23" s="108">
        <f>SUM('SYVbT_DV-Regis'!F87)</f>
        <v>1779618</v>
      </c>
      <c r="G23" s="112">
        <f>SUMPRODUCT(E23:E25,F23:F25)/SUM(F23:F25)</f>
        <v>47.128724591452908</v>
      </c>
    </row>
    <row r="24" spans="1:8">
      <c r="A24" s="378" t="s">
        <v>11</v>
      </c>
      <c r="B24" s="379" t="s">
        <v>15</v>
      </c>
      <c r="C24" s="380" t="s">
        <v>29</v>
      </c>
      <c r="D24" s="107" t="s">
        <v>32</v>
      </c>
      <c r="E24" s="107">
        <v>46.5</v>
      </c>
      <c r="F24" s="108">
        <f>SUM('SYVbT_DV-Regis'!F88:F89)</f>
        <v>305815</v>
      </c>
      <c r="G24" s="112"/>
    </row>
    <row r="25" spans="1:8">
      <c r="A25" s="378" t="s">
        <v>11</v>
      </c>
      <c r="B25" s="379" t="s">
        <v>15</v>
      </c>
      <c r="C25" s="380" t="s">
        <v>29</v>
      </c>
      <c r="D25" s="107" t="s">
        <v>33</v>
      </c>
      <c r="E25" s="107">
        <v>134.80000000000001</v>
      </c>
      <c r="F25" s="108">
        <f>SUM('SYVbT_DV-Regis'!F90:F93)</f>
        <v>152987</v>
      </c>
      <c r="G25" s="112"/>
    </row>
    <row r="26" spans="1:8">
      <c r="A26" s="378" t="s">
        <v>11</v>
      </c>
      <c r="B26" s="379" t="s">
        <v>15</v>
      </c>
      <c r="C26" s="380" t="s">
        <v>35</v>
      </c>
      <c r="D26" s="107" t="s">
        <v>37</v>
      </c>
      <c r="E26" s="107">
        <v>18.5</v>
      </c>
      <c r="F26" s="108"/>
      <c r="G26" s="112"/>
    </row>
    <row r="27" spans="1:8">
      <c r="A27" s="378" t="s">
        <v>11</v>
      </c>
      <c r="B27" s="379" t="s">
        <v>15</v>
      </c>
      <c r="C27" s="380" t="s">
        <v>35</v>
      </c>
      <c r="D27" s="107" t="s">
        <v>31</v>
      </c>
      <c r="E27" s="107">
        <v>21.3</v>
      </c>
      <c r="F27" s="108">
        <f>'SYVbT_DV-Regis'!F95</f>
        <v>32396</v>
      </c>
      <c r="G27" s="112">
        <f>SUMPRODUCT(E27:E29,F27:F29)/SUM(F27:F29)</f>
        <v>19.224348078739013</v>
      </c>
    </row>
    <row r="28" spans="1:8">
      <c r="A28" s="378" t="s">
        <v>11</v>
      </c>
      <c r="B28" s="379" t="s">
        <v>15</v>
      </c>
      <c r="C28" s="380" t="s">
        <v>35</v>
      </c>
      <c r="D28" s="107" t="s">
        <v>32</v>
      </c>
      <c r="E28" s="107">
        <v>14.8</v>
      </c>
      <c r="F28" s="108">
        <f>'SYVbT_DV-Regis'!F96</f>
        <v>15324</v>
      </c>
      <c r="G28" s="112"/>
    </row>
    <row r="29" spans="1:8">
      <c r="A29" s="378" t="s">
        <v>11</v>
      </c>
      <c r="B29" s="379" t="s">
        <v>15</v>
      </c>
      <c r="C29" s="380" t="s">
        <v>35</v>
      </c>
      <c r="D29" s="107" t="s">
        <v>33</v>
      </c>
      <c r="E29" s="107">
        <v>19.3</v>
      </c>
      <c r="F29" s="108">
        <f>SUM('SYVbT_DV-Regis'!F97:F98)</f>
        <v>7348</v>
      </c>
      <c r="G29" s="112"/>
    </row>
    <row r="30" spans="1:8">
      <c r="A30" s="378" t="s">
        <v>11</v>
      </c>
      <c r="B30" s="379" t="s">
        <v>15</v>
      </c>
      <c r="C30" s="380" t="s">
        <v>36</v>
      </c>
      <c r="D30" s="107" t="s">
        <v>37</v>
      </c>
      <c r="E30" s="107">
        <v>39.9</v>
      </c>
      <c r="F30" s="108"/>
      <c r="G30" s="112"/>
    </row>
    <row r="31" spans="1:8">
      <c r="A31" s="378" t="s">
        <v>11</v>
      </c>
      <c r="B31" s="379" t="s">
        <v>15</v>
      </c>
      <c r="C31" s="380" t="s">
        <v>36</v>
      </c>
      <c r="D31" s="107" t="s">
        <v>31</v>
      </c>
      <c r="E31" s="107">
        <v>41.6</v>
      </c>
      <c r="F31" s="108">
        <f>'SYVbT_DV-Regis'!F100</f>
        <v>416907</v>
      </c>
      <c r="G31" s="112">
        <f>SUMPRODUCT(E31:E32,F31:F32)/SUM(F31:F32)</f>
        <v>41.465188882899014</v>
      </c>
      <c r="H31" s="103" t="s">
        <v>218</v>
      </c>
    </row>
    <row r="32" spans="1:8">
      <c r="A32" s="378" t="s">
        <v>11</v>
      </c>
      <c r="B32" s="379" t="s">
        <v>15</v>
      </c>
      <c r="C32" s="380" t="s">
        <v>36</v>
      </c>
      <c r="D32" s="107" t="s">
        <v>32</v>
      </c>
      <c r="E32" s="107">
        <v>28</v>
      </c>
      <c r="F32" s="108">
        <f>SUM('SYVbT_DV-Regis'!F101:F102)</f>
        <v>4174</v>
      </c>
      <c r="G32" s="112"/>
    </row>
    <row r="33" spans="1:8">
      <c r="A33" s="378" t="s">
        <v>11</v>
      </c>
      <c r="B33" s="379" t="s">
        <v>15</v>
      </c>
      <c r="C33" s="107" t="s">
        <v>190</v>
      </c>
      <c r="D33" s="107" t="s">
        <v>37</v>
      </c>
      <c r="E33" s="107">
        <v>65.099999999999994</v>
      </c>
      <c r="F33" s="108">
        <f>'SYVbT_DV-Regis'!F103</f>
        <v>568839</v>
      </c>
      <c r="G33" s="112"/>
      <c r="H33" s="103" t="s">
        <v>198</v>
      </c>
    </row>
    <row r="34" spans="1:8">
      <c r="A34" s="378" t="s">
        <v>11</v>
      </c>
      <c r="B34" s="379" t="s">
        <v>16</v>
      </c>
      <c r="C34" s="107" t="s">
        <v>37</v>
      </c>
      <c r="D34" s="107" t="s">
        <v>37</v>
      </c>
      <c r="E34" s="107">
        <v>116.9</v>
      </c>
      <c r="F34" s="108"/>
      <c r="G34" s="112"/>
    </row>
    <row r="35" spans="1:8">
      <c r="A35" s="378" t="s">
        <v>11</v>
      </c>
      <c r="B35" s="379" t="s">
        <v>16</v>
      </c>
      <c r="C35" s="107" t="s">
        <v>191</v>
      </c>
      <c r="D35" s="107" t="s">
        <v>37</v>
      </c>
      <c r="E35" s="107">
        <v>225.3</v>
      </c>
      <c r="F35" s="108">
        <f>SUM('SYVbT_DV-Regis'!F133)</f>
        <v>39348</v>
      </c>
      <c r="G35" s="112"/>
      <c r="H35" s="103" t="s">
        <v>201</v>
      </c>
    </row>
    <row r="36" spans="1:8">
      <c r="A36" s="378" t="s">
        <v>11</v>
      </c>
      <c r="B36" s="379" t="s">
        <v>16</v>
      </c>
      <c r="C36" s="107" t="s">
        <v>192</v>
      </c>
      <c r="D36" s="107" t="s">
        <v>37</v>
      </c>
      <c r="E36" s="107">
        <v>60.9</v>
      </c>
      <c r="F36" s="108">
        <f>SUM('SYVbT_DV-Regis'!F129)</f>
        <v>12141</v>
      </c>
      <c r="G36" s="112"/>
      <c r="H36" s="103" t="s">
        <v>200</v>
      </c>
    </row>
    <row r="37" spans="1:8" ht="14.25" thickBot="1">
      <c r="A37" s="378" t="s">
        <v>11</v>
      </c>
      <c r="B37" s="381" t="s">
        <v>16</v>
      </c>
      <c r="C37" s="113" t="s">
        <v>193</v>
      </c>
      <c r="D37" s="113" t="s">
        <v>37</v>
      </c>
      <c r="E37" s="113">
        <v>30.3</v>
      </c>
      <c r="F37" s="114">
        <f>SUM('SYVbT_DV-Regis'!F137)</f>
        <v>43975</v>
      </c>
      <c r="G37" s="115"/>
      <c r="H37" s="103" t="s">
        <v>201</v>
      </c>
    </row>
    <row r="40" spans="1:8">
      <c r="B40" s="104"/>
      <c r="C40" s="104"/>
    </row>
    <row r="41" spans="1:8">
      <c r="B41" s="105"/>
      <c r="C41" s="105"/>
    </row>
  </sheetData>
  <mergeCells count="17">
    <mergeCell ref="F2:G2"/>
    <mergeCell ref="B34:B37"/>
    <mergeCell ref="A1:E1"/>
    <mergeCell ref="A4:A37"/>
    <mergeCell ref="B5:B14"/>
    <mergeCell ref="C6:C10"/>
    <mergeCell ref="C11:C13"/>
    <mergeCell ref="B15:B20"/>
    <mergeCell ref="C16:C19"/>
    <mergeCell ref="B21:B33"/>
    <mergeCell ref="C22:C25"/>
    <mergeCell ref="C26:C29"/>
    <mergeCell ref="C30:C32"/>
    <mergeCell ref="A2:A3"/>
    <mergeCell ref="B2:B3"/>
    <mergeCell ref="C2:C3"/>
    <mergeCell ref="D2:D3"/>
  </mergeCells>
  <phoneticPr fontId="42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BDDAC-B339-42D3-A9DF-39C4EAB49459}">
  <dimension ref="A1:S39"/>
  <sheetViews>
    <sheetView workbookViewId="0">
      <selection activeCell="H53" sqref="H53"/>
    </sheetView>
  </sheetViews>
  <sheetFormatPr defaultColWidth="9" defaultRowHeight="16.5"/>
  <cols>
    <col min="1" max="2" width="9" style="39"/>
    <col min="3" max="3" width="10.875" style="40" bestFit="1" customWidth="1"/>
    <col min="4" max="7" width="9" style="39"/>
    <col min="8" max="8" width="9.875" style="40" bestFit="1" customWidth="1"/>
    <col min="9" max="9" width="9.875" style="39" customWidth="1"/>
    <col min="10" max="10" width="9" style="39"/>
    <col min="11" max="11" width="9.875" style="40" bestFit="1" customWidth="1"/>
    <col min="12" max="12" width="9.625" style="39" bestFit="1" customWidth="1"/>
    <col min="13" max="13" width="11" style="40" bestFit="1" customWidth="1"/>
    <col min="14" max="14" width="11" style="39" customWidth="1"/>
    <col min="15" max="15" width="12" style="39" customWidth="1"/>
    <col min="16" max="17" width="9" style="39"/>
    <col min="18" max="18" width="11" style="39" bestFit="1" customWidth="1"/>
    <col min="19" max="16384" width="9" style="39"/>
  </cols>
  <sheetData>
    <row r="1" spans="1:19" ht="17.25" customHeight="1"/>
    <row r="2" spans="1:19">
      <c r="A2" s="403"/>
      <c r="B2" s="404"/>
      <c r="C2" s="41"/>
      <c r="D2" s="410" t="s">
        <v>215</v>
      </c>
      <c r="E2" s="410"/>
      <c r="F2" s="42"/>
      <c r="G2" s="410">
        <v>2</v>
      </c>
      <c r="H2" s="410"/>
      <c r="I2" s="42"/>
      <c r="J2" s="42"/>
      <c r="K2" s="41"/>
      <c r="L2" s="410">
        <v>3</v>
      </c>
      <c r="M2" s="410"/>
      <c r="N2" s="43"/>
      <c r="S2" s="32">
        <v>4</v>
      </c>
    </row>
    <row r="3" spans="1:19" ht="17.25" thickBot="1">
      <c r="A3" s="405"/>
      <c r="B3" s="406"/>
      <c r="C3" s="38" t="s">
        <v>194</v>
      </c>
      <c r="D3" s="33" t="s">
        <v>202</v>
      </c>
      <c r="E3" s="34" t="s">
        <v>196</v>
      </c>
      <c r="F3" s="34" t="s">
        <v>203</v>
      </c>
      <c r="G3" s="33" t="s">
        <v>202</v>
      </c>
      <c r="H3" s="38" t="s">
        <v>199</v>
      </c>
      <c r="I3" s="34" t="s">
        <v>203</v>
      </c>
      <c r="J3" s="33" t="s">
        <v>202</v>
      </c>
      <c r="K3" s="38" t="s">
        <v>199</v>
      </c>
      <c r="L3" s="33" t="s">
        <v>202</v>
      </c>
      <c r="M3" s="38" t="s">
        <v>199</v>
      </c>
      <c r="N3" s="44"/>
      <c r="S3" s="32" t="s">
        <v>202</v>
      </c>
    </row>
    <row r="4" spans="1:19" ht="17.25" thickBot="1">
      <c r="A4" s="398" t="s">
        <v>17</v>
      </c>
      <c r="B4" s="402" t="s">
        <v>205</v>
      </c>
      <c r="C4" s="68">
        <f>SUM('SYVbT_DV-Regis'!F8:F9,'SYVbT_DV-Regis'!F22:F23,'SYVbT_DV-Regis'!F19:F20,'SYVbT_DV-Regis'!F33:F34)</f>
        <v>1920057</v>
      </c>
      <c r="D4" s="45">
        <f>SUMPRODUCT('DV-km'!E7:E10,'DV-km'!F7:F10)/SUM('DV-km'!F7:F10)</f>
        <v>32.980492975254862</v>
      </c>
      <c r="E4" s="69">
        <f>ABS(D4-'DV-km'!E6)/'DV-km'!E6</f>
        <v>1.8437709069795825E-2</v>
      </c>
      <c r="F4" s="79" t="s">
        <v>24</v>
      </c>
      <c r="G4" s="195">
        <f>SUMPRODUCT('DV-km'!E7:E9,'DV-km'!F7:F9)/SUM('DV-km'!F7:F9)</f>
        <v>31.688448775046613</v>
      </c>
      <c r="H4" s="82">
        <f>SUM('DV-km'!F7:F9)</f>
        <v>9947603</v>
      </c>
      <c r="I4" s="389" t="s">
        <v>24</v>
      </c>
      <c r="J4" s="195">
        <f>G4</f>
        <v>31.688448775046613</v>
      </c>
      <c r="K4" s="82">
        <f>H4</f>
        <v>9947603</v>
      </c>
      <c r="L4" s="96">
        <f>SUMPRODUCT(J4:J6,K4:K6)/SUM(K4:K6)</f>
        <v>33.678680479061526</v>
      </c>
      <c r="M4" s="93">
        <f>SUM(K4:K5)</f>
        <v>13078638</v>
      </c>
      <c r="N4" s="44"/>
      <c r="O4" s="388" t="s">
        <v>22</v>
      </c>
      <c r="P4" s="47" t="s">
        <v>179</v>
      </c>
      <c r="Q4" s="35">
        <f>L4</f>
        <v>33.678680479061526</v>
      </c>
      <c r="R4" s="48">
        <f>M4</f>
        <v>13078638</v>
      </c>
      <c r="S4" s="198">
        <f>SUMPRODUCT(Q4:Q5,R4:R5)/SUM(R4:R5)*About!B64*About!B65</f>
        <v>7645.3386159425945</v>
      </c>
    </row>
    <row r="5" spans="1:19">
      <c r="A5" s="399"/>
      <c r="B5" s="401"/>
      <c r="C5" s="70">
        <f>SUM('SYVbT_DV-Regis'!F10,'SYVbT_DV-Regis'!F24,'SYVbT_DV-Regis'!F36)</f>
        <v>1003047</v>
      </c>
      <c r="D5" s="49"/>
      <c r="E5" s="71"/>
      <c r="F5" s="80"/>
      <c r="G5" s="49"/>
      <c r="H5" s="50"/>
      <c r="I5" s="391"/>
      <c r="J5" s="196">
        <f>G8</f>
        <v>39.200000000000003</v>
      </c>
      <c r="K5" s="192">
        <f>H8</f>
        <v>3131035</v>
      </c>
      <c r="L5" s="94"/>
      <c r="M5" s="95"/>
      <c r="N5" s="44"/>
      <c r="O5" s="388"/>
      <c r="P5" s="51" t="s">
        <v>180</v>
      </c>
      <c r="Q5" s="36">
        <f>L11</f>
        <v>34.325851734004324</v>
      </c>
      <c r="R5" s="52">
        <f>M11</f>
        <v>654958</v>
      </c>
      <c r="S5" s="53"/>
    </row>
    <row r="6" spans="1:19" ht="17.25" thickBot="1">
      <c r="A6" s="399"/>
      <c r="B6" s="401"/>
      <c r="C6" s="70">
        <f>SUM('SYVbT_DV-Regis'!F11,'SYVbT_DV-Regis'!F25,'SYVbT_DV-Regis'!F37)</f>
        <v>7024499</v>
      </c>
      <c r="D6" s="49"/>
      <c r="E6" s="71"/>
      <c r="F6" s="80"/>
      <c r="G6" s="49"/>
      <c r="H6" s="50"/>
      <c r="I6" s="390"/>
      <c r="J6" s="58">
        <f>'DV-km'!E14</f>
        <v>37.700000000000003</v>
      </c>
      <c r="K6" s="59">
        <f>SUM('SYVbT_DV-Regis'!F54:F55,'SYVbT_DV-Regis'!F60:F61)</f>
        <v>624320</v>
      </c>
      <c r="L6" s="392" t="s">
        <v>213</v>
      </c>
      <c r="M6" s="393"/>
      <c r="N6" s="54"/>
      <c r="O6" s="37"/>
    </row>
    <row r="7" spans="1:19" ht="17.25" thickBot="1">
      <c r="A7" s="399"/>
      <c r="B7" s="401"/>
      <c r="C7" s="72">
        <f>SUM('SYVbT_DV-Regis'!F12:F18,'SYVbT_DV-Regis'!F26:F32,'SYVbT_DV-Regis'!F38:F41)</f>
        <v>3550965</v>
      </c>
      <c r="D7" s="58"/>
      <c r="E7" s="73"/>
      <c r="F7" s="80" t="s">
        <v>25</v>
      </c>
      <c r="G7" s="55">
        <f>'DV-km'!E10</f>
        <v>36.6</v>
      </c>
      <c r="H7" s="192">
        <f>'DV-km'!F10</f>
        <v>3550965</v>
      </c>
      <c r="I7" s="389" t="s">
        <v>25</v>
      </c>
      <c r="J7" s="88">
        <f>G7</f>
        <v>36.6</v>
      </c>
      <c r="K7" s="82">
        <f>H7</f>
        <v>3550965</v>
      </c>
      <c r="L7" s="96">
        <f>SUMPRODUCT(J7:J9,K7:K9)/SUM(K7:K9)</f>
        <v>37.299258406019554</v>
      </c>
      <c r="M7" s="93">
        <f>SUM(K7:K8)</f>
        <v>4977780</v>
      </c>
      <c r="N7" s="44"/>
      <c r="O7" s="388" t="s">
        <v>22</v>
      </c>
      <c r="P7" s="47" t="s">
        <v>181</v>
      </c>
      <c r="Q7" s="35">
        <f>L7</f>
        <v>37.299258406019554</v>
      </c>
      <c r="R7" s="48">
        <f>M7</f>
        <v>4977780</v>
      </c>
      <c r="S7" s="198">
        <f>SUMPRODUCT(Q7:Q8,R7:R8)/SUM(R7:R8)*About!B64*About!B65</f>
        <v>9323.117790227654</v>
      </c>
    </row>
    <row r="8" spans="1:19">
      <c r="A8" s="399"/>
      <c r="B8" s="401" t="s">
        <v>34</v>
      </c>
      <c r="C8" s="68">
        <f>SUM('SYVbT_DV-Regis'!F45:F46,'SYVbT_DV-Regis'!F51:F52)</f>
        <v>3131035</v>
      </c>
      <c r="D8" s="45">
        <f>SUMPRODUCT('DV-km'!E12:E13,'DV-km'!F12:F13)/SUM('DV-km'!F12:F13)</f>
        <v>39.106086312625472</v>
      </c>
      <c r="E8" s="69">
        <f>ABS(D8-'DV-km'!E12)/'DV-km'!E12</f>
        <v>2.3957573309829386E-3</v>
      </c>
      <c r="F8" s="80" t="s">
        <v>24</v>
      </c>
      <c r="G8" s="196">
        <f>'DV-km'!E12</f>
        <v>39.200000000000003</v>
      </c>
      <c r="H8" s="192">
        <f>'DV-km'!F12</f>
        <v>3131035</v>
      </c>
      <c r="I8" s="391"/>
      <c r="J8" s="55">
        <f>G9</f>
        <v>38.9</v>
      </c>
      <c r="K8" s="192">
        <f>H9</f>
        <v>1426815</v>
      </c>
      <c r="L8" s="94"/>
      <c r="M8" s="95"/>
      <c r="N8" s="54"/>
      <c r="O8" s="388"/>
      <c r="P8" s="51" t="s">
        <v>182</v>
      </c>
      <c r="Q8" s="36">
        <f>L13</f>
        <v>161.96092220784107</v>
      </c>
      <c r="R8" s="52">
        <f>M13</f>
        <v>156841</v>
      </c>
      <c r="S8" s="53"/>
    </row>
    <row r="9" spans="1:19" ht="17.25" thickBot="1">
      <c r="A9" s="399"/>
      <c r="B9" s="401"/>
      <c r="C9" s="72">
        <f>SUM('SYVbT_DV-Regis'!F47:F50)</f>
        <v>1426815</v>
      </c>
      <c r="D9" s="58"/>
      <c r="E9" s="73"/>
      <c r="F9" s="81" t="s">
        <v>25</v>
      </c>
      <c r="G9" s="61">
        <f>'DV-km'!E13</f>
        <v>38.9</v>
      </c>
      <c r="H9" s="193">
        <f>'DV-km'!F13</f>
        <v>1426815</v>
      </c>
      <c r="I9" s="390"/>
      <c r="J9" s="58">
        <f>'DV-km'!E14</f>
        <v>37.700000000000003</v>
      </c>
      <c r="K9" s="59">
        <f>C10-K6</f>
        <v>496779</v>
      </c>
      <c r="L9" s="394" t="s">
        <v>213</v>
      </c>
      <c r="M9" s="395"/>
      <c r="N9" s="44"/>
      <c r="O9" s="37"/>
    </row>
    <row r="10" spans="1:19" ht="17.25" thickBot="1">
      <c r="A10" s="400"/>
      <c r="B10" s="56" t="s">
        <v>206</v>
      </c>
      <c r="C10" s="67">
        <f>'SYVbT_DV-Regis'!F53</f>
        <v>1121099</v>
      </c>
      <c r="D10" s="407" t="s">
        <v>197</v>
      </c>
      <c r="E10" s="408"/>
      <c r="F10" s="408"/>
      <c r="G10" s="408"/>
      <c r="H10" s="409"/>
      <c r="I10" s="86"/>
      <c r="J10" s="87"/>
      <c r="K10" s="67"/>
      <c r="L10" s="58"/>
      <c r="M10" s="59"/>
      <c r="N10" s="44"/>
      <c r="O10" s="388" t="s">
        <v>23</v>
      </c>
      <c r="P10" s="47" t="s">
        <v>183</v>
      </c>
      <c r="Q10" s="35">
        <f>L15</f>
        <v>40.422398770042214</v>
      </c>
      <c r="R10" s="48">
        <f>M15</f>
        <v>2554234</v>
      </c>
      <c r="S10" s="198">
        <f>SUMPRODUCT(Q10:Q11,R10:R11)/SUM(R10:R11)*About!B64*About!B65</f>
        <v>9189.7881930098556</v>
      </c>
    </row>
    <row r="11" spans="1:19" ht="17.25" thickBot="1">
      <c r="A11" s="398" t="s">
        <v>18</v>
      </c>
      <c r="B11" s="402" t="s">
        <v>29</v>
      </c>
      <c r="C11" s="68">
        <f>SUM('SYVbT_DV-Regis'!F71)</f>
        <v>621706</v>
      </c>
      <c r="D11" s="45">
        <f>SUMPRODUCT('DV-km'!E17:E19,'DV-km'!F17:F19)/SUM('DV-km'!F17:F19)</f>
        <v>60.36459077664405</v>
      </c>
      <c r="E11" s="69">
        <f>ABS(D11-'DV-km'!E16)/'DV-km'!E16</f>
        <v>2.2381689810900803E-3</v>
      </c>
      <c r="F11" s="79" t="s">
        <v>24</v>
      </c>
      <c r="G11" s="60">
        <f>SUMPRODUCT('DV-km'!E17:E18,'DV-km'!F17:F18)/SUM('DV-km'!F17:F18)</f>
        <v>34.387475383037625</v>
      </c>
      <c r="H11" s="82">
        <f>SUM('DV-km'!F17:F18)</f>
        <v>648435</v>
      </c>
      <c r="I11" s="396" t="s">
        <v>24</v>
      </c>
      <c r="J11" s="60">
        <f>G11</f>
        <v>34.387475383037625</v>
      </c>
      <c r="K11" s="82">
        <f>H11</f>
        <v>648435</v>
      </c>
      <c r="L11" s="96">
        <f>SUMPRODUCT(J11:J12,K11:K12)/SUM(K11:K12)</f>
        <v>34.325851734004324</v>
      </c>
      <c r="M11" s="93">
        <f>SUM(K11:K12)</f>
        <v>654958</v>
      </c>
      <c r="N11" s="44"/>
      <c r="O11" s="388"/>
      <c r="P11" s="51" t="s">
        <v>184</v>
      </c>
      <c r="Q11" s="36">
        <f>L25</f>
        <v>60.9</v>
      </c>
      <c r="R11" s="52">
        <f>M25</f>
        <v>12141</v>
      </c>
      <c r="S11" s="53"/>
    </row>
    <row r="12" spans="1:19" ht="17.25" thickBot="1">
      <c r="A12" s="399"/>
      <c r="B12" s="401"/>
      <c r="C12" s="70">
        <f>SUM('SYVbT_DV-Regis'!F72:F73)</f>
        <v>26729</v>
      </c>
      <c r="D12" s="49"/>
      <c r="E12" s="71"/>
      <c r="F12" s="80"/>
      <c r="G12" s="49"/>
      <c r="H12" s="50"/>
      <c r="I12" s="397"/>
      <c r="J12" s="58">
        <f>J14</f>
        <v>28.2</v>
      </c>
      <c r="K12" s="59">
        <v>6523</v>
      </c>
      <c r="L12" s="97"/>
      <c r="M12" s="98"/>
      <c r="N12" s="44"/>
      <c r="O12" s="37"/>
    </row>
    <row r="13" spans="1:19" ht="17.25" thickBot="1">
      <c r="A13" s="399"/>
      <c r="B13" s="401"/>
      <c r="C13" s="72">
        <f>SUM('SYVbT_DV-Regis'!F64:F67,'SYVbT_DV-Regis'!F74:F75)</f>
        <v>128549</v>
      </c>
      <c r="D13" s="58"/>
      <c r="E13" s="73"/>
      <c r="F13" s="81" t="s">
        <v>25</v>
      </c>
      <c r="G13" s="58">
        <f>'DV-km'!E19</f>
        <v>191.4</v>
      </c>
      <c r="H13" s="89">
        <f>'DV-km'!F19</f>
        <v>128549</v>
      </c>
      <c r="I13" s="389" t="s">
        <v>25</v>
      </c>
      <c r="J13" s="45">
        <f>G13</f>
        <v>191.4</v>
      </c>
      <c r="K13" s="46">
        <f>H13</f>
        <v>128549</v>
      </c>
      <c r="L13" s="96">
        <f>SUMPRODUCT(J13:J14,K13:K14)/SUM(K13:K14)</f>
        <v>161.96092220784107</v>
      </c>
      <c r="M13" s="93">
        <f>SUM(K13:K14)</f>
        <v>156841</v>
      </c>
      <c r="N13" s="44"/>
      <c r="O13" s="388" t="s">
        <v>23</v>
      </c>
      <c r="P13" s="47" t="s">
        <v>185</v>
      </c>
      <c r="Q13" s="35">
        <f>L18</f>
        <v>79.262127969455847</v>
      </c>
      <c r="R13" s="48">
        <f>M18</f>
        <v>729174</v>
      </c>
      <c r="S13" s="198">
        <f>SUMPRODUCT(Q13:Q14,R13:R14)/SUM(R13:R14)*About!B64*About!B65</f>
        <v>18979.686196888564</v>
      </c>
    </row>
    <row r="14" spans="1:19" ht="17.25" thickBot="1">
      <c r="A14" s="400"/>
      <c r="B14" s="56" t="s">
        <v>207</v>
      </c>
      <c r="C14" s="67">
        <f>'SYVbT_DV-Regis'!F76</f>
        <v>34815</v>
      </c>
      <c r="D14" s="407" t="s">
        <v>197</v>
      </c>
      <c r="E14" s="408"/>
      <c r="F14" s="408"/>
      <c r="G14" s="408"/>
      <c r="H14" s="408"/>
      <c r="I14" s="390"/>
      <c r="J14" s="58">
        <f>'DV-km'!E20</f>
        <v>28.2</v>
      </c>
      <c r="K14" s="59">
        <f>'DV-km'!F20-K12</f>
        <v>28292</v>
      </c>
      <c r="L14" s="99"/>
      <c r="M14" s="100"/>
      <c r="N14" s="44"/>
      <c r="O14" s="388"/>
      <c r="P14" s="51" t="s">
        <v>186</v>
      </c>
      <c r="Q14" s="36">
        <f>L26</f>
        <v>122.38573863159033</v>
      </c>
      <c r="R14" s="52">
        <f>M26</f>
        <v>83323</v>
      </c>
      <c r="S14" s="53"/>
    </row>
    <row r="15" spans="1:19" ht="17.25" thickBot="1">
      <c r="A15" s="398" t="s">
        <v>19</v>
      </c>
      <c r="B15" s="402" t="s">
        <v>205</v>
      </c>
      <c r="C15" s="68">
        <f>SUM('SYVbT_DV-Regis'!F87)</f>
        <v>1779618</v>
      </c>
      <c r="D15" s="45">
        <f>SUMPRODUCT('DV-km'!E23:E25,'DV-km'!F23:F25)/SUM('DV-km'!F23:F25)</f>
        <v>47.128724591452908</v>
      </c>
      <c r="E15" s="69">
        <f>ABS('DV-km'!E22-D15)/'DV-km'!E22</f>
        <v>2.4250008458531869E-2</v>
      </c>
      <c r="F15" s="79" t="s">
        <v>24</v>
      </c>
      <c r="G15" s="195">
        <f>SUMPRODUCT('DV-km'!E23:E24,'DV-km'!F23:F24)/SUM('DV-km'!F23:F24)</f>
        <v>40.697175166979719</v>
      </c>
      <c r="H15" s="82">
        <f>SUM('DV-km'!F23:F24)</f>
        <v>2085433</v>
      </c>
      <c r="I15" s="389" t="s">
        <v>24</v>
      </c>
      <c r="J15" s="195">
        <f>G15</f>
        <v>40.697175166979719</v>
      </c>
      <c r="K15" s="82">
        <f>H15</f>
        <v>2085433</v>
      </c>
      <c r="L15" s="96">
        <f>SUMPRODUCT(J15:J17,K15:K17)/SUM(K15:K17)</f>
        <v>40.422398770042214</v>
      </c>
      <c r="M15" s="93">
        <f>SUM(K15:K17)</f>
        <v>2554234</v>
      </c>
      <c r="N15" s="44"/>
    </row>
    <row r="16" spans="1:19">
      <c r="A16" s="399"/>
      <c r="B16" s="401"/>
      <c r="C16" s="70">
        <f>SUM('SYVbT_DV-Regis'!F88:F89)</f>
        <v>305815</v>
      </c>
      <c r="D16" s="49"/>
      <c r="E16" s="71"/>
      <c r="F16" s="80"/>
      <c r="G16" s="49"/>
      <c r="H16" s="192"/>
      <c r="I16" s="391"/>
      <c r="J16" s="196">
        <f>G19</f>
        <v>19.212699077954735</v>
      </c>
      <c r="K16" s="192">
        <f>H19</f>
        <v>47720</v>
      </c>
      <c r="L16" s="94"/>
      <c r="M16" s="95"/>
      <c r="N16" s="54"/>
    </row>
    <row r="17" spans="1:14" ht="17.25" thickBot="1">
      <c r="A17" s="399"/>
      <c r="B17" s="401"/>
      <c r="C17" s="72">
        <f>SUM('SYVbT_DV-Regis'!F90:F93)</f>
        <v>152987</v>
      </c>
      <c r="D17" s="58"/>
      <c r="E17" s="73"/>
      <c r="F17" s="81" t="s">
        <v>25</v>
      </c>
      <c r="G17" s="61">
        <f>'DV-km'!E25</f>
        <v>134.80000000000001</v>
      </c>
      <c r="H17" s="193">
        <f>'DV-km'!F25</f>
        <v>152987</v>
      </c>
      <c r="I17" s="390"/>
      <c r="J17" s="197">
        <f>G22</f>
        <v>41.465188882899014</v>
      </c>
      <c r="K17" s="193">
        <f>H22</f>
        <v>421081</v>
      </c>
      <c r="L17" s="101"/>
      <c r="M17" s="102"/>
      <c r="N17" s="44"/>
    </row>
    <row r="18" spans="1:14" ht="17.25" thickBot="1">
      <c r="A18" s="399"/>
      <c r="B18" s="401" t="s">
        <v>208</v>
      </c>
      <c r="C18" s="68"/>
      <c r="D18" s="45"/>
      <c r="E18" s="69"/>
      <c r="F18" s="79"/>
      <c r="G18" s="45"/>
      <c r="H18" s="82"/>
      <c r="I18" s="389" t="s">
        <v>25</v>
      </c>
      <c r="J18" s="88">
        <f>G17</f>
        <v>134.80000000000001</v>
      </c>
      <c r="K18" s="82">
        <f>H17</f>
        <v>152987</v>
      </c>
      <c r="L18" s="96">
        <f>SUMPRODUCT(J18:J20,K18:K20)/SUM(K18:K20)</f>
        <v>79.262127969455847</v>
      </c>
      <c r="M18" s="93">
        <f>SUM(K18:K20)</f>
        <v>729174</v>
      </c>
      <c r="N18" s="54"/>
    </row>
    <row r="19" spans="1:14">
      <c r="A19" s="399"/>
      <c r="B19" s="401"/>
      <c r="C19" s="70">
        <f>'SYVbT_DV-Regis'!F95</f>
        <v>32396</v>
      </c>
      <c r="D19" s="49">
        <f>SUMPRODUCT('DV-km'!E27:E29,'DV-km'!F27:F29)/SUM('DV-km'!F27:F29)</f>
        <v>19.224348078739013</v>
      </c>
      <c r="E19" s="71">
        <f>ABS('DV-km'!E26-D19)/'DV-km'!E26</f>
        <v>3.9153950202108788E-2</v>
      </c>
      <c r="F19" s="80" t="s">
        <v>24</v>
      </c>
      <c r="G19" s="196">
        <f>SUMPRODUCT('DV-km'!E27:E28,'DV-km'!F27:F28)/SUM('DV-km'!F27:F28)</f>
        <v>19.212699077954735</v>
      </c>
      <c r="H19" s="192">
        <f>SUM('DV-km'!F27:F28)</f>
        <v>47720</v>
      </c>
      <c r="I19" s="391"/>
      <c r="J19" s="55">
        <f>G21</f>
        <v>19.3</v>
      </c>
      <c r="K19" s="192">
        <f>H21</f>
        <v>7348</v>
      </c>
      <c r="L19" s="94"/>
      <c r="M19" s="95"/>
      <c r="N19" s="44"/>
    </row>
    <row r="20" spans="1:14" ht="17.25" thickBot="1">
      <c r="A20" s="399"/>
      <c r="B20" s="401"/>
      <c r="C20" s="70">
        <f>'SYVbT_DV-Regis'!F96</f>
        <v>15324</v>
      </c>
      <c r="D20" s="49"/>
      <c r="E20" s="71"/>
      <c r="F20" s="80"/>
      <c r="G20" s="49"/>
      <c r="H20" s="192"/>
      <c r="I20" s="390"/>
      <c r="J20" s="61">
        <f>G24</f>
        <v>65.099999999999994</v>
      </c>
      <c r="K20" s="193">
        <f>H24</f>
        <v>568839</v>
      </c>
      <c r="L20" s="85"/>
      <c r="M20" s="50"/>
      <c r="N20" s="44"/>
    </row>
    <row r="21" spans="1:14" ht="17.25" thickBot="1">
      <c r="A21" s="399"/>
      <c r="B21" s="401"/>
      <c r="C21" s="72">
        <f>SUM('SYVbT_DV-Regis'!F97:F98)</f>
        <v>7348</v>
      </c>
      <c r="D21" s="58"/>
      <c r="E21" s="73"/>
      <c r="F21" s="81" t="s">
        <v>25</v>
      </c>
      <c r="G21" s="61">
        <f>'DV-km'!E29</f>
        <v>19.3</v>
      </c>
      <c r="H21" s="193">
        <f>'DV-km'!F29</f>
        <v>7348</v>
      </c>
      <c r="I21" s="90"/>
      <c r="J21" s="75"/>
      <c r="K21" s="74"/>
      <c r="L21" s="49"/>
      <c r="M21" s="50"/>
      <c r="N21" s="44"/>
    </row>
    <row r="22" spans="1:14">
      <c r="A22" s="399"/>
      <c r="B22" s="401" t="s">
        <v>209</v>
      </c>
      <c r="C22" s="68">
        <f>'SYVbT_DV-Regis'!F100</f>
        <v>416907</v>
      </c>
      <c r="D22" s="45">
        <f>SUMPRODUCT('DV-km'!E31:E32,'DV-km'!F31:F32)/SUM('DV-km'!F31:F32)</f>
        <v>41.465188882899014</v>
      </c>
      <c r="E22" s="69">
        <f>ABS('DV-km'!E30-D22)/'DV-km'!E30</f>
        <v>3.9227791551353766E-2</v>
      </c>
      <c r="F22" s="79" t="s">
        <v>24</v>
      </c>
      <c r="G22" s="195">
        <f>'DV-km'!G31</f>
        <v>41.465188882899014</v>
      </c>
      <c r="H22" s="82">
        <f>SUM('DV-km'!F31:F32)</f>
        <v>421081</v>
      </c>
      <c r="I22" s="83"/>
      <c r="J22" s="49"/>
      <c r="K22" s="41"/>
      <c r="L22" s="49"/>
      <c r="M22" s="50"/>
      <c r="N22" s="44"/>
    </row>
    <row r="23" spans="1:14" ht="17.25" thickBot="1">
      <c r="A23" s="399"/>
      <c r="B23" s="401"/>
      <c r="C23" s="72">
        <f>SUM('SYVbT_DV-Regis'!F101:F102)</f>
        <v>4174</v>
      </c>
      <c r="D23" s="58"/>
      <c r="E23" s="73"/>
      <c r="F23" s="81"/>
      <c r="G23" s="58"/>
      <c r="H23" s="193"/>
      <c r="I23" s="66"/>
      <c r="J23" s="49"/>
      <c r="K23" s="41"/>
      <c r="L23" s="49"/>
      <c r="M23" s="50"/>
      <c r="N23" s="44"/>
    </row>
    <row r="24" spans="1:14" ht="17.25" thickBot="1">
      <c r="A24" s="400"/>
      <c r="B24" s="56" t="s">
        <v>207</v>
      </c>
      <c r="C24" s="67">
        <f>'SYVbT_DV-Regis'!F103</f>
        <v>568839</v>
      </c>
      <c r="D24" s="407" t="s">
        <v>198</v>
      </c>
      <c r="E24" s="408"/>
      <c r="F24" s="409"/>
      <c r="G24" s="84">
        <f>'DV-km'!E33</f>
        <v>65.099999999999994</v>
      </c>
      <c r="H24" s="194">
        <f>'DV-km'!F33</f>
        <v>568839</v>
      </c>
      <c r="I24" s="65"/>
      <c r="J24" s="58"/>
      <c r="K24" s="57"/>
      <c r="L24" s="58"/>
      <c r="M24" s="59"/>
      <c r="N24" s="54"/>
    </row>
    <row r="25" spans="1:14" ht="17.25" thickBot="1">
      <c r="A25" s="398" t="s">
        <v>20</v>
      </c>
      <c r="B25" s="76" t="s">
        <v>210</v>
      </c>
      <c r="C25" s="68">
        <f>SUM('SYVbT_DV-Regis'!F133)</f>
        <v>39348</v>
      </c>
      <c r="D25" s="45"/>
      <c r="E25" s="69"/>
      <c r="F25" s="79" t="s">
        <v>25</v>
      </c>
      <c r="G25" s="45">
        <f>'DV-km'!E35</f>
        <v>225.3</v>
      </c>
      <c r="H25" s="46">
        <f>'DV-km'!F35</f>
        <v>39348</v>
      </c>
      <c r="I25" s="91" t="s">
        <v>24</v>
      </c>
      <c r="J25" s="92">
        <f>G26</f>
        <v>60.9</v>
      </c>
      <c r="K25" s="93">
        <f>H26</f>
        <v>12141</v>
      </c>
      <c r="L25" s="96">
        <f>J25</f>
        <v>60.9</v>
      </c>
      <c r="M25" s="93">
        <f>K25</f>
        <v>12141</v>
      </c>
      <c r="N25" s="44"/>
    </row>
    <row r="26" spans="1:14" ht="17.25" thickBot="1">
      <c r="A26" s="399"/>
      <c r="B26" s="77" t="s">
        <v>211</v>
      </c>
      <c r="C26" s="70">
        <f>SUM('SYVbT_DV-Regis'!F129)</f>
        <v>12141</v>
      </c>
      <c r="D26" s="49"/>
      <c r="E26" s="71"/>
      <c r="F26" s="80" t="s">
        <v>24</v>
      </c>
      <c r="G26" s="49">
        <f>'DV-km'!E36</f>
        <v>60.9</v>
      </c>
      <c r="H26" s="50">
        <f>'DV-km'!F36</f>
        <v>12141</v>
      </c>
      <c r="I26" s="389" t="s">
        <v>25</v>
      </c>
      <c r="J26" s="45">
        <f>G25</f>
        <v>225.3</v>
      </c>
      <c r="K26" s="46">
        <f>H25</f>
        <v>39348</v>
      </c>
      <c r="L26" s="96">
        <f>SUMPRODUCT(J26:J27,K26:K27)/SUM(K26:K27)</f>
        <v>122.38573863159033</v>
      </c>
      <c r="M26" s="93">
        <f>SUM(K26:K27)</f>
        <v>83323</v>
      </c>
      <c r="N26" s="44"/>
    </row>
    <row r="27" spans="1:14" ht="17.25" thickBot="1">
      <c r="A27" s="400"/>
      <c r="B27" s="78" t="s">
        <v>212</v>
      </c>
      <c r="C27" s="72">
        <f>SUM('SYVbT_DV-Regis'!F137)</f>
        <v>43975</v>
      </c>
      <c r="D27" s="58"/>
      <c r="E27" s="73"/>
      <c r="F27" s="81" t="s">
        <v>25</v>
      </c>
      <c r="G27" s="58">
        <f>'DV-km'!E37</f>
        <v>30.3</v>
      </c>
      <c r="H27" s="59">
        <f>'DV-km'!F37</f>
        <v>43975</v>
      </c>
      <c r="I27" s="390"/>
      <c r="J27" s="58">
        <f>G27</f>
        <v>30.3</v>
      </c>
      <c r="K27" s="59">
        <f>H27</f>
        <v>43975</v>
      </c>
      <c r="L27" s="99"/>
      <c r="M27" s="100"/>
      <c r="N27" s="44"/>
    </row>
    <row r="28" spans="1:14">
      <c r="N28" s="44"/>
    </row>
    <row r="29" spans="1:14">
      <c r="A29" s="24" t="s">
        <v>621</v>
      </c>
      <c r="N29" s="44"/>
    </row>
    <row r="30" spans="1:14">
      <c r="A30" s="39" t="s">
        <v>616</v>
      </c>
      <c r="N30" s="44"/>
    </row>
    <row r="31" spans="1:14">
      <c r="A31" s="39" t="s">
        <v>615</v>
      </c>
      <c r="N31" s="44"/>
    </row>
    <row r="32" spans="1:14">
      <c r="A32" s="39" t="s">
        <v>617</v>
      </c>
      <c r="N32" s="44"/>
    </row>
    <row r="33" spans="1:14">
      <c r="A33" s="39" t="s">
        <v>618</v>
      </c>
      <c r="N33" s="44"/>
    </row>
    <row r="34" spans="1:14">
      <c r="A34" s="24"/>
      <c r="N34" s="44"/>
    </row>
    <row r="35" spans="1:14">
      <c r="A35" t="s">
        <v>426</v>
      </c>
      <c r="N35" s="44"/>
    </row>
    <row r="36" spans="1:14">
      <c r="A36" t="s">
        <v>216</v>
      </c>
      <c r="N36" s="44"/>
    </row>
    <row r="37" spans="1:14">
      <c r="A37" t="s">
        <v>427</v>
      </c>
      <c r="C37" s="64"/>
      <c r="D37" s="63"/>
      <c r="E37" s="24"/>
      <c r="N37" s="54"/>
    </row>
    <row r="38" spans="1:14">
      <c r="N38" s="44"/>
    </row>
    <row r="39" spans="1:14">
      <c r="A39" s="39" t="s">
        <v>619</v>
      </c>
    </row>
  </sheetData>
  <mergeCells count="30">
    <mergeCell ref="D24:F24"/>
    <mergeCell ref="D14:H14"/>
    <mergeCell ref="D10:H10"/>
    <mergeCell ref="L2:M2"/>
    <mergeCell ref="G2:H2"/>
    <mergeCell ref="D2:E2"/>
    <mergeCell ref="I7:I9"/>
    <mergeCell ref="I13:I14"/>
    <mergeCell ref="A2:B3"/>
    <mergeCell ref="B11:B13"/>
    <mergeCell ref="B8:B9"/>
    <mergeCell ref="A4:A10"/>
    <mergeCell ref="A11:A14"/>
    <mergeCell ref="B4:B7"/>
    <mergeCell ref="A15:A24"/>
    <mergeCell ref="B22:B23"/>
    <mergeCell ref="B15:B17"/>
    <mergeCell ref="B18:B21"/>
    <mergeCell ref="A25:A27"/>
    <mergeCell ref="O4:O5"/>
    <mergeCell ref="O7:O8"/>
    <mergeCell ref="O10:O11"/>
    <mergeCell ref="O13:O14"/>
    <mergeCell ref="I26:I27"/>
    <mergeCell ref="I4:I6"/>
    <mergeCell ref="I15:I17"/>
    <mergeCell ref="I18:I20"/>
    <mergeCell ref="L6:M6"/>
    <mergeCell ref="L9:M9"/>
    <mergeCell ref="I11:I12"/>
  </mergeCells>
  <phoneticPr fontId="42" type="noConversion"/>
  <pageMargins left="0.7" right="0.7" top="0.75" bottom="0.75" header="0.3" footer="0.3"/>
  <ignoredErrors>
    <ignoredError sqref="J14:K14 J12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3FD09-2145-4D3A-BB3F-94BAC97490BB}">
  <dimension ref="A1:W50"/>
  <sheetViews>
    <sheetView workbookViewId="0">
      <selection activeCell="L36" sqref="L36"/>
    </sheetView>
  </sheetViews>
  <sheetFormatPr defaultColWidth="9" defaultRowHeight="13.5"/>
  <cols>
    <col min="1" max="1" width="18.125" style="132" customWidth="1"/>
    <col min="2" max="2" width="9" style="132"/>
    <col min="3" max="3" width="12.25" style="132" customWidth="1"/>
    <col min="4" max="4" width="6.875" style="132" bestFit="1" customWidth="1"/>
    <col min="5" max="16384" width="9" style="132"/>
  </cols>
  <sheetData>
    <row r="1" spans="2:23">
      <c r="B1" s="143" t="s">
        <v>989</v>
      </c>
    </row>
    <row r="2" spans="2:23" ht="16.5">
      <c r="B2" s="128" t="s">
        <v>242</v>
      </c>
      <c r="C2" s="128" t="s">
        <v>243</v>
      </c>
      <c r="D2" s="370">
        <v>2000</v>
      </c>
      <c r="E2" s="370">
        <v>2001</v>
      </c>
      <c r="F2" s="370">
        <v>2002</v>
      </c>
      <c r="G2" s="370">
        <v>2003</v>
      </c>
      <c r="H2" s="370">
        <v>2004</v>
      </c>
      <c r="I2" s="370">
        <v>2005</v>
      </c>
      <c r="J2" s="370">
        <v>2006</v>
      </c>
      <c r="K2" s="370">
        <v>2007</v>
      </c>
      <c r="L2" s="370">
        <v>2008</v>
      </c>
      <c r="M2" s="370">
        <v>2009</v>
      </c>
      <c r="N2" s="370">
        <v>2010</v>
      </c>
      <c r="O2" s="370">
        <v>2011</v>
      </c>
      <c r="P2" s="370">
        <v>2012</v>
      </c>
      <c r="Q2" s="370">
        <v>2013</v>
      </c>
      <c r="R2" s="370">
        <v>2014</v>
      </c>
      <c r="S2" s="370">
        <v>2015</v>
      </c>
      <c r="T2" s="370">
        <v>2016</v>
      </c>
      <c r="U2" s="370">
        <v>2017</v>
      </c>
      <c r="V2" s="370">
        <v>2018</v>
      </c>
      <c r="W2" s="370">
        <v>2019</v>
      </c>
    </row>
    <row r="3" spans="2:23" ht="16.5">
      <c r="B3" s="133" t="s">
        <v>238</v>
      </c>
      <c r="C3" s="133" t="s">
        <v>222</v>
      </c>
      <c r="D3" s="134" t="s">
        <v>224</v>
      </c>
      <c r="E3" s="134" t="s">
        <v>224</v>
      </c>
      <c r="F3" s="134" t="s">
        <v>224</v>
      </c>
      <c r="G3" s="134">
        <v>340</v>
      </c>
      <c r="H3" s="134">
        <v>920</v>
      </c>
      <c r="I3" s="134">
        <v>920</v>
      </c>
      <c r="J3" s="134">
        <v>920</v>
      </c>
      <c r="K3" s="134">
        <v>920</v>
      </c>
      <c r="L3" s="134">
        <v>920</v>
      </c>
      <c r="M3" s="134">
        <v>920</v>
      </c>
      <c r="N3" s="134">
        <v>1110</v>
      </c>
      <c r="O3" s="134">
        <v>1110</v>
      </c>
      <c r="P3" s="134">
        <v>1160</v>
      </c>
      <c r="Q3" s="134">
        <v>1160</v>
      </c>
      <c r="R3" s="134">
        <v>1160</v>
      </c>
      <c r="S3" s="134">
        <v>1380</v>
      </c>
      <c r="T3" s="134">
        <v>1420</v>
      </c>
      <c r="U3" s="134">
        <v>1530</v>
      </c>
      <c r="V3" s="134">
        <v>1530</v>
      </c>
      <c r="W3" s="134">
        <v>1530</v>
      </c>
    </row>
    <row r="4" spans="2:23" ht="16.5">
      <c r="B4" s="133" t="s">
        <v>235</v>
      </c>
      <c r="C4" s="133" t="s">
        <v>222</v>
      </c>
      <c r="D4" s="134" t="s">
        <v>224</v>
      </c>
      <c r="E4" s="134" t="s">
        <v>224</v>
      </c>
      <c r="F4" s="134" t="s">
        <v>224</v>
      </c>
      <c r="G4" s="134" t="s">
        <v>224</v>
      </c>
      <c r="H4" s="134" t="s">
        <v>224</v>
      </c>
      <c r="I4" s="134" t="s">
        <v>224</v>
      </c>
      <c r="J4" s="134" t="s">
        <v>224</v>
      </c>
      <c r="K4" s="134" t="s">
        <v>224</v>
      </c>
      <c r="L4" s="134" t="s">
        <v>224</v>
      </c>
      <c r="M4" s="134" t="s">
        <v>224</v>
      </c>
      <c r="N4" s="134" t="s">
        <v>224</v>
      </c>
      <c r="O4" s="134" t="s">
        <v>224</v>
      </c>
      <c r="P4" s="134" t="s">
        <v>224</v>
      </c>
      <c r="Q4" s="134" t="s">
        <v>224</v>
      </c>
      <c r="R4" s="134" t="s">
        <v>224</v>
      </c>
      <c r="S4" s="134" t="s">
        <v>224</v>
      </c>
      <c r="T4" s="134">
        <v>100</v>
      </c>
      <c r="U4" s="134">
        <v>100</v>
      </c>
      <c r="V4" s="134">
        <v>100</v>
      </c>
      <c r="W4" s="134">
        <v>100</v>
      </c>
    </row>
    <row r="5" spans="2:23" ht="16.5">
      <c r="B5" s="133" t="s">
        <v>247</v>
      </c>
      <c r="C5" s="133" t="s">
        <v>248</v>
      </c>
      <c r="D5" s="134">
        <v>467</v>
      </c>
      <c r="E5" s="134">
        <v>482</v>
      </c>
      <c r="F5" s="134">
        <v>482</v>
      </c>
      <c r="G5" s="134">
        <v>468</v>
      </c>
      <c r="H5" s="134">
        <v>462</v>
      </c>
      <c r="I5" s="134">
        <v>455</v>
      </c>
      <c r="J5" s="134">
        <v>438</v>
      </c>
      <c r="K5" s="134">
        <v>422</v>
      </c>
      <c r="L5" s="134">
        <v>396</v>
      </c>
      <c r="M5" s="134">
        <v>335</v>
      </c>
      <c r="N5" s="134">
        <v>330</v>
      </c>
      <c r="O5" s="134">
        <v>321</v>
      </c>
      <c r="P5" s="134">
        <v>315</v>
      </c>
      <c r="Q5" s="134">
        <v>286</v>
      </c>
      <c r="R5" s="134">
        <v>309</v>
      </c>
      <c r="S5" s="134">
        <v>292</v>
      </c>
      <c r="T5" s="134">
        <v>288</v>
      </c>
      <c r="U5" s="134">
        <v>280</v>
      </c>
      <c r="V5" s="134">
        <v>265</v>
      </c>
      <c r="W5" s="134">
        <v>254</v>
      </c>
    </row>
    <row r="6" spans="2:23" ht="16.5">
      <c r="B6" s="135" t="s">
        <v>223</v>
      </c>
      <c r="C6" s="133" t="s">
        <v>249</v>
      </c>
      <c r="D6" s="134">
        <v>95</v>
      </c>
      <c r="E6" s="134">
        <v>96</v>
      </c>
      <c r="F6" s="134">
        <v>96</v>
      </c>
      <c r="G6" s="134">
        <v>106</v>
      </c>
      <c r="H6" s="134">
        <v>124</v>
      </c>
      <c r="I6" s="134">
        <v>131</v>
      </c>
      <c r="J6" s="134">
        <v>151</v>
      </c>
      <c r="K6" s="134">
        <v>151</v>
      </c>
      <c r="L6" s="134">
        <v>179</v>
      </c>
      <c r="M6" s="134">
        <v>179</v>
      </c>
      <c r="N6" s="134">
        <v>179</v>
      </c>
      <c r="O6" s="134">
        <v>177</v>
      </c>
      <c r="P6" s="134">
        <v>204</v>
      </c>
      <c r="Q6" s="134">
        <v>209</v>
      </c>
      <c r="R6" s="134">
        <v>200</v>
      </c>
      <c r="S6" s="134">
        <v>200</v>
      </c>
      <c r="T6" s="134">
        <v>195</v>
      </c>
      <c r="U6" s="134">
        <v>176</v>
      </c>
      <c r="V6" s="134">
        <v>175</v>
      </c>
      <c r="W6" s="134">
        <v>175</v>
      </c>
    </row>
    <row r="7" spans="2:23" ht="16.5">
      <c r="B7" s="135" t="s">
        <v>223</v>
      </c>
      <c r="C7" s="133" t="s">
        <v>250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  <c r="I7" s="134">
        <v>1</v>
      </c>
      <c r="J7" s="134">
        <v>1</v>
      </c>
      <c r="K7" s="134">
        <v>1</v>
      </c>
      <c r="L7" s="134">
        <v>1</v>
      </c>
      <c r="M7" s="134" t="s">
        <v>224</v>
      </c>
      <c r="N7" s="134" t="s">
        <v>224</v>
      </c>
      <c r="O7" s="134" t="s">
        <v>224</v>
      </c>
      <c r="P7" s="134" t="s">
        <v>224</v>
      </c>
      <c r="Q7" s="134" t="s">
        <v>224</v>
      </c>
      <c r="R7" s="134" t="s">
        <v>224</v>
      </c>
      <c r="S7" s="134" t="s">
        <v>224</v>
      </c>
      <c r="T7" s="134" t="s">
        <v>224</v>
      </c>
      <c r="U7" s="134" t="s">
        <v>224</v>
      </c>
      <c r="V7" s="134" t="s">
        <v>224</v>
      </c>
      <c r="W7" s="134" t="s">
        <v>224</v>
      </c>
    </row>
    <row r="8" spans="2:23" ht="16.5">
      <c r="B8" s="133" t="s">
        <v>251</v>
      </c>
      <c r="C8" s="133" t="s">
        <v>252</v>
      </c>
      <c r="D8" s="134">
        <v>615</v>
      </c>
      <c r="E8" s="134">
        <v>610</v>
      </c>
      <c r="F8" s="134">
        <v>610</v>
      </c>
      <c r="G8" s="134">
        <v>606</v>
      </c>
      <c r="H8" s="134">
        <v>602</v>
      </c>
      <c r="I8" s="134">
        <v>592</v>
      </c>
      <c r="J8" s="134">
        <v>576</v>
      </c>
      <c r="K8" s="134">
        <v>566</v>
      </c>
      <c r="L8" s="134">
        <v>524</v>
      </c>
      <c r="M8" s="134">
        <v>500</v>
      </c>
      <c r="N8" s="134">
        <v>471</v>
      </c>
      <c r="O8" s="134">
        <v>444</v>
      </c>
      <c r="P8" s="134">
        <v>397</v>
      </c>
      <c r="Q8" s="134">
        <v>303</v>
      </c>
      <c r="R8" s="134">
        <v>204</v>
      </c>
      <c r="S8" s="134">
        <v>201</v>
      </c>
      <c r="T8" s="134">
        <v>178</v>
      </c>
      <c r="U8" s="134">
        <v>150</v>
      </c>
      <c r="V8" s="134">
        <v>150</v>
      </c>
      <c r="W8" s="134">
        <v>121</v>
      </c>
    </row>
    <row r="9" spans="2:23" ht="16.5">
      <c r="B9" s="135" t="s">
        <v>223</v>
      </c>
      <c r="C9" s="133" t="s">
        <v>253</v>
      </c>
      <c r="D9" s="134">
        <v>1674</v>
      </c>
      <c r="E9" s="134">
        <v>1672</v>
      </c>
      <c r="F9" s="134">
        <v>1662</v>
      </c>
      <c r="G9" s="134">
        <v>1858</v>
      </c>
      <c r="H9" s="134">
        <v>1824</v>
      </c>
      <c r="I9" s="134">
        <v>1850</v>
      </c>
      <c r="J9" s="134">
        <v>2086</v>
      </c>
      <c r="K9" s="134">
        <v>2086</v>
      </c>
      <c r="L9" s="134">
        <v>2088</v>
      </c>
      <c r="M9" s="134">
        <v>2184</v>
      </c>
      <c r="N9" s="134">
        <v>2287</v>
      </c>
      <c r="O9" s="134">
        <v>2344</v>
      </c>
      <c r="P9" s="134">
        <v>2381</v>
      </c>
      <c r="Q9" s="134">
        <v>2449</v>
      </c>
      <c r="R9" s="134">
        <v>2458</v>
      </c>
      <c r="S9" s="134">
        <v>2410</v>
      </c>
      <c r="T9" s="134">
        <v>2546</v>
      </c>
      <c r="U9" s="134">
        <v>2558</v>
      </c>
      <c r="V9" s="134">
        <v>2569</v>
      </c>
      <c r="W9" s="134">
        <v>2562</v>
      </c>
    </row>
    <row r="10" spans="2:23" ht="16.5">
      <c r="B10" s="135" t="s">
        <v>223</v>
      </c>
      <c r="C10" s="133" t="s">
        <v>254</v>
      </c>
      <c r="D10" s="134">
        <v>10</v>
      </c>
      <c r="E10" s="134" t="s">
        <v>224</v>
      </c>
      <c r="F10" s="134" t="s">
        <v>224</v>
      </c>
      <c r="G10" s="134" t="s">
        <v>224</v>
      </c>
      <c r="H10" s="134" t="s">
        <v>224</v>
      </c>
      <c r="I10" s="134" t="s">
        <v>224</v>
      </c>
      <c r="J10" s="134" t="s">
        <v>224</v>
      </c>
      <c r="K10" s="134" t="s">
        <v>224</v>
      </c>
      <c r="L10" s="134" t="s">
        <v>224</v>
      </c>
      <c r="M10" s="134" t="s">
        <v>224</v>
      </c>
      <c r="N10" s="134" t="s">
        <v>224</v>
      </c>
      <c r="O10" s="134" t="s">
        <v>224</v>
      </c>
      <c r="P10" s="134" t="s">
        <v>224</v>
      </c>
      <c r="Q10" s="134" t="s">
        <v>224</v>
      </c>
      <c r="R10" s="134" t="s">
        <v>224</v>
      </c>
      <c r="S10" s="134" t="s">
        <v>224</v>
      </c>
      <c r="T10" s="134" t="s">
        <v>224</v>
      </c>
      <c r="U10" s="134" t="s">
        <v>224</v>
      </c>
      <c r="V10" s="134" t="s">
        <v>224</v>
      </c>
      <c r="W10" s="134" t="s">
        <v>224</v>
      </c>
    </row>
    <row r="11" spans="2:23" ht="16.5">
      <c r="B11" s="135" t="s">
        <v>223</v>
      </c>
      <c r="C11" s="133" t="s">
        <v>255</v>
      </c>
      <c r="D11" s="134" t="s">
        <v>224</v>
      </c>
      <c r="E11" s="134" t="s">
        <v>224</v>
      </c>
      <c r="F11" s="134" t="s">
        <v>224</v>
      </c>
      <c r="G11" s="134" t="s">
        <v>224</v>
      </c>
      <c r="H11" s="134" t="s">
        <v>224</v>
      </c>
      <c r="I11" s="134" t="s">
        <v>224</v>
      </c>
      <c r="J11" s="134" t="s">
        <v>224</v>
      </c>
      <c r="K11" s="134" t="s">
        <v>224</v>
      </c>
      <c r="L11" s="134" t="s">
        <v>224</v>
      </c>
      <c r="M11" s="134">
        <v>32</v>
      </c>
      <c r="N11" s="134">
        <v>32</v>
      </c>
      <c r="O11" s="134">
        <v>32</v>
      </c>
      <c r="P11" s="134">
        <v>32</v>
      </c>
      <c r="Q11" s="134">
        <v>32</v>
      </c>
      <c r="R11" s="134">
        <v>166</v>
      </c>
      <c r="S11" s="134">
        <v>166</v>
      </c>
      <c r="T11" s="134">
        <v>166</v>
      </c>
      <c r="U11" s="134">
        <v>166</v>
      </c>
      <c r="V11" s="134">
        <v>166</v>
      </c>
      <c r="W11" s="134">
        <v>166</v>
      </c>
    </row>
    <row r="12" spans="2:23" ht="16.5">
      <c r="B12" s="135" t="s">
        <v>223</v>
      </c>
      <c r="C12" s="133" t="s">
        <v>256</v>
      </c>
      <c r="D12" s="134" t="s">
        <v>224</v>
      </c>
      <c r="E12" s="134" t="s">
        <v>224</v>
      </c>
      <c r="F12" s="134" t="s">
        <v>224</v>
      </c>
      <c r="G12" s="134" t="s">
        <v>224</v>
      </c>
      <c r="H12" s="134" t="s">
        <v>224</v>
      </c>
      <c r="I12" s="134" t="s">
        <v>224</v>
      </c>
      <c r="J12" s="134" t="s">
        <v>224</v>
      </c>
      <c r="K12" s="134" t="s">
        <v>224</v>
      </c>
      <c r="L12" s="134" t="s">
        <v>224</v>
      </c>
      <c r="M12" s="134" t="s">
        <v>224</v>
      </c>
      <c r="N12" s="134" t="s">
        <v>224</v>
      </c>
      <c r="O12" s="134">
        <v>16</v>
      </c>
      <c r="P12" s="134">
        <v>64</v>
      </c>
      <c r="Q12" s="134">
        <v>64</v>
      </c>
      <c r="R12" s="134">
        <v>64</v>
      </c>
      <c r="S12" s="134">
        <v>64</v>
      </c>
      <c r="T12" s="134">
        <v>64</v>
      </c>
      <c r="U12" s="134">
        <v>64</v>
      </c>
      <c r="V12" s="134">
        <v>64</v>
      </c>
      <c r="W12" s="134">
        <v>64</v>
      </c>
    </row>
    <row r="13" spans="2:23" ht="16.5">
      <c r="B13" s="133" t="s">
        <v>257</v>
      </c>
      <c r="C13" s="133" t="s">
        <v>222</v>
      </c>
      <c r="D13" s="134">
        <v>1455</v>
      </c>
      <c r="E13" s="134">
        <v>1421</v>
      </c>
      <c r="F13" s="134">
        <v>1454</v>
      </c>
      <c r="G13" s="134">
        <v>1495</v>
      </c>
      <c r="H13" s="134">
        <v>1294</v>
      </c>
      <c r="I13" s="134">
        <v>1272</v>
      </c>
      <c r="J13" s="134">
        <v>1251</v>
      </c>
      <c r="K13" s="134">
        <v>1226</v>
      </c>
      <c r="L13" s="134">
        <v>1207</v>
      </c>
      <c r="M13" s="134">
        <v>1167</v>
      </c>
      <c r="N13" s="134">
        <v>1127</v>
      </c>
      <c r="O13" s="134">
        <v>1080</v>
      </c>
      <c r="P13" s="134">
        <v>1020</v>
      </c>
      <c r="Q13" s="134">
        <v>1023</v>
      </c>
      <c r="R13" s="134">
        <v>958</v>
      </c>
      <c r="S13" s="134">
        <v>969</v>
      </c>
      <c r="T13" s="134">
        <v>921</v>
      </c>
      <c r="U13" s="134">
        <v>920</v>
      </c>
      <c r="V13" s="134">
        <v>909</v>
      </c>
      <c r="W13" s="134">
        <v>821</v>
      </c>
    </row>
    <row r="14" spans="2:23" ht="16.5">
      <c r="B14" s="133" t="s">
        <v>258</v>
      </c>
      <c r="C14" s="133" t="s">
        <v>222</v>
      </c>
      <c r="D14" s="134">
        <v>220</v>
      </c>
      <c r="E14" s="134">
        <v>220</v>
      </c>
      <c r="F14" s="134">
        <v>224</v>
      </c>
      <c r="G14" s="134">
        <v>222</v>
      </c>
      <c r="H14" s="134">
        <v>216</v>
      </c>
      <c r="I14" s="134">
        <v>202</v>
      </c>
      <c r="J14" s="134">
        <v>188</v>
      </c>
      <c r="K14" s="134">
        <v>185</v>
      </c>
      <c r="L14" s="134">
        <v>183</v>
      </c>
      <c r="M14" s="134">
        <v>179</v>
      </c>
      <c r="N14" s="134">
        <v>167</v>
      </c>
      <c r="O14" s="134">
        <v>156</v>
      </c>
      <c r="P14" s="134">
        <v>147</v>
      </c>
      <c r="Q14" s="134">
        <v>147</v>
      </c>
      <c r="R14" s="134">
        <v>133</v>
      </c>
      <c r="S14" s="134">
        <v>130</v>
      </c>
      <c r="T14" s="134">
        <v>116</v>
      </c>
      <c r="U14" s="134">
        <v>116</v>
      </c>
      <c r="V14" s="134">
        <v>113</v>
      </c>
      <c r="W14" s="134">
        <v>113</v>
      </c>
    </row>
    <row r="15" spans="2:23" ht="16.5">
      <c r="B15" s="133" t="s">
        <v>259</v>
      </c>
      <c r="C15" s="133" t="s">
        <v>222</v>
      </c>
      <c r="D15" s="134">
        <v>13224</v>
      </c>
      <c r="E15" s="134">
        <v>13413</v>
      </c>
      <c r="F15" s="134">
        <v>14113</v>
      </c>
      <c r="G15" s="134">
        <v>14450</v>
      </c>
      <c r="H15" s="134">
        <v>14286</v>
      </c>
      <c r="I15" s="134">
        <v>13817</v>
      </c>
      <c r="J15" s="134">
        <v>13178</v>
      </c>
      <c r="K15" s="134">
        <v>13183</v>
      </c>
      <c r="L15" s="134">
        <v>13105</v>
      </c>
      <c r="M15" s="134">
        <v>12843</v>
      </c>
      <c r="N15" s="134">
        <v>12755</v>
      </c>
      <c r="O15" s="134">
        <v>12705</v>
      </c>
      <c r="P15" s="134">
        <v>12570</v>
      </c>
      <c r="Q15" s="134">
        <v>12192</v>
      </c>
      <c r="R15" s="134">
        <v>11413</v>
      </c>
      <c r="S15" s="134">
        <v>11076</v>
      </c>
      <c r="T15" s="134">
        <v>11031</v>
      </c>
      <c r="U15" s="134">
        <v>10865</v>
      </c>
      <c r="V15" s="134">
        <v>10500</v>
      </c>
      <c r="W15" s="134">
        <v>10359</v>
      </c>
    </row>
    <row r="16" spans="2:23" ht="16.5">
      <c r="B16" s="133" t="s">
        <v>260</v>
      </c>
      <c r="C16" s="133" t="s">
        <v>222</v>
      </c>
      <c r="D16" s="134" t="s">
        <v>224</v>
      </c>
      <c r="E16" s="134" t="s">
        <v>224</v>
      </c>
      <c r="F16" s="134" t="s">
        <v>224</v>
      </c>
      <c r="G16" s="134" t="s">
        <v>224</v>
      </c>
      <c r="H16" s="134" t="s">
        <v>224</v>
      </c>
      <c r="I16" s="134" t="s">
        <v>224</v>
      </c>
      <c r="J16" s="134" t="s">
        <v>224</v>
      </c>
      <c r="K16" s="134" t="s">
        <v>224</v>
      </c>
      <c r="L16" s="134" t="s">
        <v>224</v>
      </c>
      <c r="M16" s="134" t="s">
        <v>224</v>
      </c>
      <c r="N16" s="134" t="s">
        <v>224</v>
      </c>
      <c r="O16" s="134" t="s">
        <v>224</v>
      </c>
      <c r="P16" s="134" t="s">
        <v>224</v>
      </c>
      <c r="Q16" s="134" t="s">
        <v>224</v>
      </c>
      <c r="R16" s="134" t="s">
        <v>224</v>
      </c>
      <c r="S16" s="134" t="s">
        <v>224</v>
      </c>
      <c r="T16" s="134" t="s">
        <v>224</v>
      </c>
      <c r="U16" s="134" t="s">
        <v>224</v>
      </c>
      <c r="V16" s="134" t="s">
        <v>224</v>
      </c>
      <c r="W16" s="134" t="s">
        <v>224</v>
      </c>
    </row>
    <row r="17" spans="1:23" ht="16.5">
      <c r="B17" s="136" t="s">
        <v>261</v>
      </c>
      <c r="C17" s="136" t="s">
        <v>222</v>
      </c>
      <c r="D17" s="134">
        <v>18</v>
      </c>
      <c r="E17" s="134">
        <v>19</v>
      </c>
      <c r="F17" s="134">
        <v>19</v>
      </c>
      <c r="G17" s="134">
        <v>18</v>
      </c>
      <c r="H17" s="134">
        <v>19</v>
      </c>
      <c r="I17" s="134">
        <v>19</v>
      </c>
      <c r="J17" s="134">
        <v>18</v>
      </c>
      <c r="K17" s="134">
        <v>19</v>
      </c>
      <c r="L17" s="134">
        <v>19</v>
      </c>
      <c r="M17" s="134">
        <v>19</v>
      </c>
      <c r="N17" s="134">
        <v>17</v>
      </c>
      <c r="O17" s="134">
        <v>16</v>
      </c>
      <c r="P17" s="134">
        <v>16</v>
      </c>
      <c r="Q17" s="134">
        <v>16</v>
      </c>
      <c r="R17" s="134">
        <v>16</v>
      </c>
      <c r="S17" s="134">
        <v>16</v>
      </c>
      <c r="T17" s="134">
        <v>16</v>
      </c>
      <c r="U17" s="134">
        <v>15</v>
      </c>
      <c r="V17" s="134">
        <v>15</v>
      </c>
      <c r="W17" s="134">
        <v>15</v>
      </c>
    </row>
    <row r="19" spans="1:23">
      <c r="B19" s="137" t="s">
        <v>262</v>
      </c>
    </row>
    <row r="20" spans="1:23">
      <c r="B20" s="145" t="s">
        <v>239</v>
      </c>
      <c r="C20" s="179">
        <v>20</v>
      </c>
      <c r="D20" s="140" t="s">
        <v>263</v>
      </c>
      <c r="E20" s="132">
        <v>920</v>
      </c>
      <c r="F20" s="132" t="s">
        <v>264</v>
      </c>
    </row>
    <row r="21" spans="1:23">
      <c r="B21" s="145" t="s">
        <v>265</v>
      </c>
      <c r="C21" s="179">
        <v>10</v>
      </c>
      <c r="D21" s="140" t="s">
        <v>263</v>
      </c>
    </row>
    <row r="22" spans="1:23">
      <c r="B22" s="145" t="s">
        <v>240</v>
      </c>
      <c r="C22" s="179">
        <v>10</v>
      </c>
      <c r="D22" s="140" t="s">
        <v>263</v>
      </c>
    </row>
    <row r="23" spans="1:23">
      <c r="B23" s="180" t="s">
        <v>266</v>
      </c>
      <c r="C23" s="181" t="s">
        <v>267</v>
      </c>
      <c r="D23" s="182" t="s">
        <v>263</v>
      </c>
      <c r="E23" s="139">
        <v>4</v>
      </c>
      <c r="F23" s="139" t="s">
        <v>268</v>
      </c>
    </row>
    <row r="24" spans="1:23">
      <c r="B24" s="180" t="s">
        <v>269</v>
      </c>
      <c r="C24" s="181" t="s">
        <v>270</v>
      </c>
      <c r="D24" s="182" t="s">
        <v>263</v>
      </c>
      <c r="E24" s="139">
        <v>6</v>
      </c>
      <c r="F24" s="139" t="s">
        <v>268</v>
      </c>
    </row>
    <row r="25" spans="1:23">
      <c r="B25" s="180" t="s">
        <v>295</v>
      </c>
      <c r="C25" s="181">
        <v>20</v>
      </c>
      <c r="D25" s="182" t="s">
        <v>296</v>
      </c>
      <c r="E25" s="139"/>
      <c r="F25" s="139" t="s">
        <v>297</v>
      </c>
    </row>
    <row r="26" spans="1:23">
      <c r="B26" s="138"/>
      <c r="C26" s="105"/>
    </row>
    <row r="27" spans="1:23">
      <c r="C27" s="132" t="s">
        <v>271</v>
      </c>
    </row>
    <row r="28" spans="1:23">
      <c r="B28" s="178"/>
      <c r="C28" s="178" t="s">
        <v>203</v>
      </c>
      <c r="D28" s="178">
        <v>2019</v>
      </c>
    </row>
    <row r="29" spans="1:23">
      <c r="A29" s="411" t="s">
        <v>233</v>
      </c>
      <c r="B29" s="412" t="s">
        <v>272</v>
      </c>
      <c r="C29" s="140" t="s">
        <v>239</v>
      </c>
      <c r="D29" s="366">
        <f>$E$20/$C$20</f>
        <v>46</v>
      </c>
      <c r="E29" s="412" t="s">
        <v>298</v>
      </c>
      <c r="F29" s="413" t="s">
        <v>299</v>
      </c>
      <c r="G29" s="369"/>
      <c r="H29" s="369"/>
    </row>
    <row r="30" spans="1:23">
      <c r="A30" s="411"/>
      <c r="B30" s="412"/>
      <c r="C30" s="140" t="s">
        <v>265</v>
      </c>
      <c r="D30" s="149">
        <f>(W3-$E$20)/$C$21-22</f>
        <v>39</v>
      </c>
      <c r="E30" s="412"/>
      <c r="F30" s="413"/>
      <c r="G30" s="369"/>
      <c r="H30" s="369"/>
    </row>
    <row r="31" spans="1:23">
      <c r="A31" s="411"/>
      <c r="B31" s="412"/>
      <c r="C31" s="140" t="s">
        <v>240</v>
      </c>
      <c r="D31" s="149">
        <f>32</f>
        <v>32</v>
      </c>
      <c r="E31" s="412"/>
      <c r="F31" s="413"/>
      <c r="G31" s="369"/>
      <c r="H31" s="369"/>
    </row>
    <row r="32" spans="1:23">
      <c r="A32" s="137" t="s">
        <v>229</v>
      </c>
      <c r="B32" s="140"/>
      <c r="C32" s="140" t="s">
        <v>273</v>
      </c>
      <c r="D32" s="149">
        <f>W5</f>
        <v>254</v>
      </c>
      <c r="E32" s="415" t="s">
        <v>415</v>
      </c>
      <c r="F32" s="367" t="s">
        <v>300</v>
      </c>
      <c r="G32" s="368" t="s">
        <v>301</v>
      </c>
      <c r="H32" s="369"/>
    </row>
    <row r="33" spans="1:8">
      <c r="A33" s="137" t="s">
        <v>233</v>
      </c>
      <c r="B33" s="140"/>
      <c r="C33" s="140" t="s">
        <v>274</v>
      </c>
      <c r="D33" s="141">
        <f>W6</f>
        <v>175</v>
      </c>
      <c r="E33" s="415"/>
      <c r="F33" s="367" t="s">
        <v>300</v>
      </c>
      <c r="G33" s="368" t="s">
        <v>302</v>
      </c>
      <c r="H33" s="369"/>
    </row>
    <row r="34" spans="1:8">
      <c r="A34" s="137" t="s">
        <v>229</v>
      </c>
      <c r="B34" s="145" t="s">
        <v>266</v>
      </c>
      <c r="C34" s="140" t="s">
        <v>275</v>
      </c>
      <c r="D34" s="149">
        <f>W8/$E$23</f>
        <v>30.25</v>
      </c>
      <c r="E34" s="412" t="s">
        <v>303</v>
      </c>
      <c r="F34" s="414" t="s">
        <v>300</v>
      </c>
      <c r="G34" s="369"/>
      <c r="H34" s="369"/>
    </row>
    <row r="35" spans="1:8">
      <c r="A35" s="411" t="s">
        <v>233</v>
      </c>
      <c r="B35" s="412" t="s">
        <v>269</v>
      </c>
      <c r="C35" s="140" t="s">
        <v>269</v>
      </c>
      <c r="D35" s="149">
        <f>W9/$E$24</f>
        <v>427</v>
      </c>
      <c r="E35" s="412"/>
      <c r="F35" s="414"/>
      <c r="G35" s="369"/>
      <c r="H35" s="369"/>
    </row>
    <row r="36" spans="1:8">
      <c r="A36" s="411"/>
      <c r="B36" s="412"/>
      <c r="C36" s="140" t="s">
        <v>276</v>
      </c>
      <c r="D36" s="141">
        <f>W11/$E$24</f>
        <v>27.666666666666668</v>
      </c>
      <c r="E36" s="412"/>
      <c r="F36" s="413" t="s">
        <v>299</v>
      </c>
      <c r="G36" s="369"/>
      <c r="H36" s="369"/>
    </row>
    <row r="37" spans="1:8">
      <c r="A37" s="411"/>
      <c r="B37" s="412"/>
      <c r="C37" s="140" t="s">
        <v>277</v>
      </c>
      <c r="D37" s="141">
        <f>W12/$E$24</f>
        <v>10.666666666666666</v>
      </c>
      <c r="E37" s="412"/>
      <c r="F37" s="413"/>
      <c r="G37" s="369"/>
      <c r="H37" s="369"/>
    </row>
    <row r="38" spans="1:8">
      <c r="B38" s="138"/>
      <c r="D38" s="142"/>
    </row>
    <row r="39" spans="1:8">
      <c r="B39" s="412" t="s">
        <v>414</v>
      </c>
      <c r="C39" s="140" t="s">
        <v>278</v>
      </c>
      <c r="D39" s="141">
        <f>W13</f>
        <v>821</v>
      </c>
    </row>
    <row r="40" spans="1:8">
      <c r="B40" s="412"/>
      <c r="C40" s="140" t="s">
        <v>279</v>
      </c>
      <c r="D40" s="141">
        <f>W14</f>
        <v>113</v>
      </c>
    </row>
    <row r="41" spans="1:8">
      <c r="B41" s="412"/>
      <c r="C41" s="140" t="s">
        <v>280</v>
      </c>
      <c r="D41" s="141">
        <f>W15</f>
        <v>10359</v>
      </c>
    </row>
    <row r="42" spans="1:8">
      <c r="B42" s="412"/>
      <c r="C42" s="140" t="s">
        <v>281</v>
      </c>
      <c r="D42" s="141">
        <f>W17</f>
        <v>15</v>
      </c>
    </row>
    <row r="44" spans="1:8">
      <c r="A44" s="143"/>
    </row>
    <row r="47" spans="1:8">
      <c r="B47" s="138"/>
      <c r="C47" s="105"/>
    </row>
    <row r="48" spans="1:8">
      <c r="B48" s="148"/>
      <c r="C48" s="105"/>
    </row>
    <row r="49" spans="2:3">
      <c r="B49" s="138"/>
      <c r="C49" s="105"/>
    </row>
    <row r="50" spans="2:3">
      <c r="B50" s="138"/>
      <c r="C50" s="105"/>
    </row>
  </sheetData>
  <mergeCells count="11">
    <mergeCell ref="A29:A31"/>
    <mergeCell ref="A35:A37"/>
    <mergeCell ref="B39:B42"/>
    <mergeCell ref="F29:F31"/>
    <mergeCell ref="F36:F37"/>
    <mergeCell ref="F34:F35"/>
    <mergeCell ref="B29:B31"/>
    <mergeCell ref="E29:E31"/>
    <mergeCell ref="E32:E33"/>
    <mergeCell ref="E34:E37"/>
    <mergeCell ref="B35:B37"/>
  </mergeCells>
  <phoneticPr fontId="42" type="noConversion"/>
  <pageMargins left="0.7" right="0.7" top="0.75" bottom="0.75" header="0.3" footer="0.3"/>
  <pageSetup orientation="portrait" horizontalDpi="4294967292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06D8D-EA6D-41E8-A40F-DBA97C1A4285}">
  <dimension ref="A1:HK53"/>
  <sheetViews>
    <sheetView workbookViewId="0">
      <selection activeCell="D43" sqref="D43"/>
    </sheetView>
  </sheetViews>
  <sheetFormatPr defaultColWidth="10" defaultRowHeight="13.5"/>
  <cols>
    <col min="1" max="1" width="5.5" style="325" customWidth="1"/>
    <col min="2" max="2" width="14" style="325" customWidth="1"/>
    <col min="3" max="3" width="9.375" style="327" customWidth="1"/>
    <col min="4" max="8" width="9.375" style="325" customWidth="1"/>
    <col min="9" max="9" width="5" style="325" customWidth="1"/>
    <col min="10" max="10" width="16.625" style="325" customWidth="1"/>
    <col min="11" max="11" width="9" style="327" customWidth="1"/>
    <col min="12" max="16" width="9" style="325" customWidth="1"/>
    <col min="17" max="17" width="14.625" style="325" bestFit="1" customWidth="1"/>
    <col min="18" max="16384" width="10" style="325"/>
  </cols>
  <sheetData>
    <row r="1" spans="1:18" s="248" customFormat="1" ht="40.5" customHeight="1">
      <c r="A1" s="416" t="s">
        <v>904</v>
      </c>
      <c r="B1" s="416"/>
      <c r="C1" s="416"/>
      <c r="D1" s="416"/>
      <c r="E1" s="416"/>
      <c r="F1" s="416"/>
      <c r="G1" s="416"/>
      <c r="H1" s="416"/>
      <c r="I1" s="416" t="s">
        <v>905</v>
      </c>
      <c r="J1" s="416"/>
      <c r="K1" s="416"/>
      <c r="L1" s="416"/>
      <c r="M1" s="416"/>
      <c r="N1" s="416"/>
      <c r="O1" s="416"/>
      <c r="P1" s="416"/>
    </row>
    <row r="2" spans="1:18" s="253" customFormat="1" ht="13.5" customHeight="1">
      <c r="A2" s="249"/>
      <c r="B2" s="249"/>
      <c r="C2" s="250"/>
      <c r="D2" s="249"/>
      <c r="E2" s="249"/>
      <c r="F2" s="249"/>
      <c r="G2" s="249"/>
      <c r="H2" s="251" t="s">
        <v>906</v>
      </c>
      <c r="I2" s="249"/>
      <c r="J2" s="249"/>
      <c r="K2" s="252"/>
      <c r="L2" s="249"/>
      <c r="M2" s="249"/>
      <c r="N2" s="249"/>
      <c r="O2" s="249"/>
      <c r="P2" s="251" t="s">
        <v>907</v>
      </c>
    </row>
    <row r="3" spans="1:18" s="256" customFormat="1" ht="33.950000000000003" customHeight="1">
      <c r="A3" s="417" t="s">
        <v>908</v>
      </c>
      <c r="B3" s="418"/>
      <c r="C3" s="254" t="s">
        <v>909</v>
      </c>
      <c r="D3" s="254" t="s">
        <v>910</v>
      </c>
      <c r="E3" s="254" t="s">
        <v>911</v>
      </c>
      <c r="F3" s="254" t="s">
        <v>912</v>
      </c>
      <c r="G3" s="254" t="s">
        <v>913</v>
      </c>
      <c r="H3" s="255" t="s">
        <v>914</v>
      </c>
      <c r="I3" s="417" t="s">
        <v>915</v>
      </c>
      <c r="J3" s="418"/>
      <c r="K3" s="254" t="s">
        <v>909</v>
      </c>
      <c r="L3" s="254" t="s">
        <v>910</v>
      </c>
      <c r="M3" s="254" t="s">
        <v>911</v>
      </c>
      <c r="N3" s="254" t="s">
        <v>912</v>
      </c>
      <c r="O3" s="254" t="s">
        <v>913</v>
      </c>
      <c r="P3" s="255" t="s">
        <v>914</v>
      </c>
    </row>
    <row r="4" spans="1:18" s="256" customFormat="1" ht="13.35" hidden="1" customHeight="1">
      <c r="A4" s="419">
        <v>2002</v>
      </c>
      <c r="B4" s="257" t="s">
        <v>916</v>
      </c>
      <c r="C4" s="258">
        <v>12678405</v>
      </c>
      <c r="D4" s="259">
        <v>851716</v>
      </c>
      <c r="E4" s="259">
        <v>2012386</v>
      </c>
      <c r="F4" s="259">
        <v>9783595</v>
      </c>
      <c r="G4" s="259">
        <v>9460</v>
      </c>
      <c r="H4" s="259">
        <v>21248</v>
      </c>
      <c r="I4" s="419">
        <v>2002</v>
      </c>
      <c r="J4" s="260" t="s">
        <v>917</v>
      </c>
      <c r="K4" s="258">
        <v>138227</v>
      </c>
      <c r="L4" s="259">
        <v>27492</v>
      </c>
      <c r="M4" s="259">
        <v>24436</v>
      </c>
      <c r="N4" s="259">
        <v>77925</v>
      </c>
      <c r="O4" s="259">
        <v>565</v>
      </c>
      <c r="P4" s="259">
        <v>7809</v>
      </c>
      <c r="Q4" s="261"/>
    </row>
    <row r="5" spans="1:18" s="256" customFormat="1" ht="13.35" hidden="1" customHeight="1">
      <c r="A5" s="420"/>
      <c r="B5" s="262" t="s">
        <v>918</v>
      </c>
      <c r="C5" s="263">
        <v>100</v>
      </c>
      <c r="D5" s="264">
        <v>6.7</v>
      </c>
      <c r="E5" s="264">
        <v>15.9</v>
      </c>
      <c r="F5" s="264">
        <v>77.099999999999994</v>
      </c>
      <c r="G5" s="264">
        <v>0.1</v>
      </c>
      <c r="H5" s="264">
        <v>0.2</v>
      </c>
      <c r="I5" s="422"/>
      <c r="J5" s="262" t="s">
        <v>918</v>
      </c>
      <c r="K5" s="263">
        <v>100</v>
      </c>
      <c r="L5" s="264">
        <v>19.899999999999999</v>
      </c>
      <c r="M5" s="264">
        <v>17.7</v>
      </c>
      <c r="N5" s="264">
        <v>56.4</v>
      </c>
      <c r="O5" s="264">
        <v>0.4</v>
      </c>
      <c r="P5" s="264">
        <v>5.6</v>
      </c>
      <c r="Q5" s="261"/>
    </row>
    <row r="6" spans="1:18" s="256" customFormat="1" ht="13.35" hidden="1" customHeight="1">
      <c r="A6" s="421"/>
      <c r="B6" s="265" t="s">
        <v>919</v>
      </c>
      <c r="C6" s="266">
        <v>-5</v>
      </c>
      <c r="D6" s="267">
        <v>0.1</v>
      </c>
      <c r="E6" s="267">
        <v>-20.399999999999999</v>
      </c>
      <c r="F6" s="267">
        <v>-1.5</v>
      </c>
      <c r="G6" s="267">
        <v>1.3</v>
      </c>
      <c r="H6" s="267">
        <v>-2.6</v>
      </c>
      <c r="I6" s="423"/>
      <c r="J6" s="265" t="s">
        <v>919</v>
      </c>
      <c r="K6" s="266">
        <v>-9</v>
      </c>
      <c r="L6" s="267">
        <v>-4.8</v>
      </c>
      <c r="M6" s="267">
        <v>-19.3</v>
      </c>
      <c r="N6" s="267">
        <v>-7.5</v>
      </c>
      <c r="O6" s="267">
        <v>1.8</v>
      </c>
      <c r="P6" s="267">
        <v>-0.8</v>
      </c>
      <c r="Q6" s="261"/>
    </row>
    <row r="7" spans="1:18" s="256" customFormat="1" ht="13.15" hidden="1" customHeight="1">
      <c r="A7" s="419">
        <v>2003</v>
      </c>
      <c r="B7" s="257" t="s">
        <v>916</v>
      </c>
      <c r="C7" s="268">
        <v>12313293</v>
      </c>
      <c r="D7" s="269">
        <v>894621</v>
      </c>
      <c r="E7" s="269">
        <v>1982192</v>
      </c>
      <c r="F7" s="269">
        <v>9404764</v>
      </c>
      <c r="G7" s="269">
        <v>10336</v>
      </c>
      <c r="H7" s="269">
        <v>21380</v>
      </c>
      <c r="I7" s="419">
        <v>2003</v>
      </c>
      <c r="J7" s="260" t="s">
        <v>917</v>
      </c>
      <c r="K7" s="263">
        <v>136741</v>
      </c>
      <c r="L7" s="270">
        <v>27228</v>
      </c>
      <c r="M7" s="270">
        <v>23755</v>
      </c>
      <c r="N7" s="270">
        <v>77200</v>
      </c>
      <c r="O7" s="270">
        <v>620</v>
      </c>
      <c r="P7" s="270">
        <v>7938</v>
      </c>
      <c r="Q7" s="261"/>
    </row>
    <row r="8" spans="1:18" s="256" customFormat="1" ht="13.15" hidden="1" customHeight="1">
      <c r="A8" s="422"/>
      <c r="B8" s="262" t="s">
        <v>918</v>
      </c>
      <c r="C8" s="268">
        <v>100</v>
      </c>
      <c r="D8" s="271">
        <v>7.3</v>
      </c>
      <c r="E8" s="271">
        <v>16.100000000000001</v>
      </c>
      <c r="F8" s="271">
        <v>76.3</v>
      </c>
      <c r="G8" s="271">
        <v>0.1</v>
      </c>
      <c r="H8" s="271">
        <v>0.2</v>
      </c>
      <c r="I8" s="422"/>
      <c r="J8" s="262" t="s">
        <v>918</v>
      </c>
      <c r="K8" s="263">
        <v>100</v>
      </c>
      <c r="L8" s="264">
        <v>19.899999999999999</v>
      </c>
      <c r="M8" s="264">
        <v>17.399999999999999</v>
      </c>
      <c r="N8" s="264">
        <v>56.4</v>
      </c>
      <c r="O8" s="264">
        <v>0.5</v>
      </c>
      <c r="P8" s="264">
        <v>5.8</v>
      </c>
      <c r="Q8" s="261"/>
      <c r="R8" s="272"/>
    </row>
    <row r="9" spans="1:18" s="256" customFormat="1" ht="13.15" hidden="1" customHeight="1">
      <c r="A9" s="422"/>
      <c r="B9" s="265" t="s">
        <v>919</v>
      </c>
      <c r="C9" s="273">
        <v>-2.9</v>
      </c>
      <c r="D9" s="274">
        <v>5</v>
      </c>
      <c r="E9" s="274">
        <v>-1.5</v>
      </c>
      <c r="F9" s="274">
        <v>-3.9</v>
      </c>
      <c r="G9" s="274">
        <v>9.3000000000000007</v>
      </c>
      <c r="H9" s="274">
        <v>0.6</v>
      </c>
      <c r="I9" s="422"/>
      <c r="J9" s="265" t="s">
        <v>919</v>
      </c>
      <c r="K9" s="275">
        <v>-1.1000000000000001</v>
      </c>
      <c r="L9" s="267">
        <v>-1</v>
      </c>
      <c r="M9" s="267">
        <v>-2.8</v>
      </c>
      <c r="N9" s="267">
        <v>-0.9</v>
      </c>
      <c r="O9" s="267">
        <v>9.6999999999999993</v>
      </c>
      <c r="P9" s="267">
        <v>1.7</v>
      </c>
      <c r="Q9" s="261"/>
      <c r="R9" s="272"/>
    </row>
    <row r="10" spans="1:18" s="256" customFormat="1" ht="13.15" hidden="1" customHeight="1">
      <c r="A10" s="419">
        <v>2004</v>
      </c>
      <c r="B10" s="257" t="s">
        <v>916</v>
      </c>
      <c r="C10" s="268">
        <v>12153735</v>
      </c>
      <c r="D10" s="269">
        <v>921223</v>
      </c>
      <c r="E10" s="269">
        <v>2033411</v>
      </c>
      <c r="F10" s="269">
        <v>9169560</v>
      </c>
      <c r="G10" s="269">
        <v>10648</v>
      </c>
      <c r="H10" s="269">
        <v>18893</v>
      </c>
      <c r="I10" s="419">
        <v>2004</v>
      </c>
      <c r="J10" s="260" t="s">
        <v>917</v>
      </c>
      <c r="K10" s="263">
        <v>143775</v>
      </c>
      <c r="L10" s="270">
        <v>28459</v>
      </c>
      <c r="M10" s="270">
        <v>24291</v>
      </c>
      <c r="N10" s="270">
        <v>83217</v>
      </c>
      <c r="O10" s="270">
        <v>657</v>
      </c>
      <c r="P10" s="270">
        <v>7151</v>
      </c>
      <c r="Q10" s="261"/>
      <c r="R10" s="272"/>
    </row>
    <row r="11" spans="1:18" s="256" customFormat="1" ht="13.15" hidden="1" customHeight="1">
      <c r="A11" s="420"/>
      <c r="B11" s="262" t="s">
        <v>918</v>
      </c>
      <c r="C11" s="268">
        <v>100</v>
      </c>
      <c r="D11" s="271">
        <v>7.6</v>
      </c>
      <c r="E11" s="271">
        <v>16.7</v>
      </c>
      <c r="F11" s="271">
        <v>75.400000000000006</v>
      </c>
      <c r="G11" s="271">
        <v>0.1</v>
      </c>
      <c r="H11" s="271">
        <v>0.2</v>
      </c>
      <c r="I11" s="422"/>
      <c r="J11" s="262" t="s">
        <v>918</v>
      </c>
      <c r="K11" s="263">
        <v>100</v>
      </c>
      <c r="L11" s="264">
        <v>19.8</v>
      </c>
      <c r="M11" s="264">
        <v>16.899999999999999</v>
      </c>
      <c r="N11" s="264">
        <v>57.8</v>
      </c>
      <c r="O11" s="264">
        <v>0.5</v>
      </c>
      <c r="P11" s="264">
        <v>5</v>
      </c>
      <c r="Q11" s="261"/>
      <c r="R11" s="272"/>
    </row>
    <row r="12" spans="1:18" s="256" customFormat="1" ht="13.15" hidden="1" customHeight="1">
      <c r="A12" s="421"/>
      <c r="B12" s="265" t="s">
        <v>919</v>
      </c>
      <c r="C12" s="273">
        <v>-1.3</v>
      </c>
      <c r="D12" s="274">
        <v>3</v>
      </c>
      <c r="E12" s="271">
        <v>2.6</v>
      </c>
      <c r="F12" s="271">
        <v>-2.5</v>
      </c>
      <c r="G12" s="271">
        <v>3</v>
      </c>
      <c r="H12" s="271">
        <v>-11.6</v>
      </c>
      <c r="I12" s="423"/>
      <c r="J12" s="265" t="s">
        <v>919</v>
      </c>
      <c r="K12" s="266">
        <v>5.0999999999999996</v>
      </c>
      <c r="L12" s="264">
        <v>4.5</v>
      </c>
      <c r="M12" s="264">
        <v>2.2999999999999998</v>
      </c>
      <c r="N12" s="264">
        <v>7.8</v>
      </c>
      <c r="O12" s="264">
        <v>6</v>
      </c>
      <c r="P12" s="264">
        <v>-9.9</v>
      </c>
      <c r="Q12" s="261"/>
      <c r="R12" s="272"/>
    </row>
    <row r="13" spans="1:18" s="256" customFormat="1" ht="12.75" customHeight="1">
      <c r="A13" s="419">
        <v>2006</v>
      </c>
      <c r="B13" s="257" t="s">
        <v>916</v>
      </c>
      <c r="C13" s="268">
        <v>12186509</v>
      </c>
      <c r="D13" s="269">
        <v>969145</v>
      </c>
      <c r="E13" s="269">
        <v>2079961</v>
      </c>
      <c r="F13" s="269">
        <v>9108648</v>
      </c>
      <c r="G13" s="269">
        <v>11574</v>
      </c>
      <c r="H13" s="269">
        <v>17181</v>
      </c>
      <c r="I13" s="419">
        <v>2006</v>
      </c>
      <c r="J13" s="260" t="s">
        <v>917</v>
      </c>
      <c r="K13" s="263">
        <v>160740</v>
      </c>
      <c r="L13" s="270">
        <v>31416</v>
      </c>
      <c r="M13" s="270">
        <v>24110</v>
      </c>
      <c r="N13" s="270">
        <v>97854</v>
      </c>
      <c r="O13" s="270">
        <v>709</v>
      </c>
      <c r="P13" s="270">
        <v>6651</v>
      </c>
      <c r="Q13" s="261"/>
      <c r="R13" s="272"/>
    </row>
    <row r="14" spans="1:18" s="256" customFormat="1" ht="12.75" customHeight="1">
      <c r="A14" s="420"/>
      <c r="B14" s="262" t="s">
        <v>918</v>
      </c>
      <c r="C14" s="268">
        <v>100</v>
      </c>
      <c r="D14" s="271">
        <v>8</v>
      </c>
      <c r="E14" s="271">
        <v>17.100000000000001</v>
      </c>
      <c r="F14" s="271">
        <v>74.7</v>
      </c>
      <c r="G14" s="271">
        <v>0.1</v>
      </c>
      <c r="H14" s="271">
        <v>0.1</v>
      </c>
      <c r="I14" s="420"/>
      <c r="J14" s="262" t="s">
        <v>918</v>
      </c>
      <c r="K14" s="263">
        <v>100</v>
      </c>
      <c r="L14" s="264">
        <v>19.5</v>
      </c>
      <c r="M14" s="264">
        <v>15</v>
      </c>
      <c r="N14" s="264">
        <v>61</v>
      </c>
      <c r="O14" s="264">
        <v>0.4</v>
      </c>
      <c r="P14" s="264">
        <v>4.0999999999999996</v>
      </c>
      <c r="Q14" s="261"/>
      <c r="R14" s="272"/>
    </row>
    <row r="15" spans="1:18" s="256" customFormat="1" ht="12.75" customHeight="1">
      <c r="A15" s="421"/>
      <c r="B15" s="265" t="s">
        <v>919</v>
      </c>
      <c r="C15" s="273">
        <v>3.3</v>
      </c>
      <c r="D15" s="274">
        <v>1.9</v>
      </c>
      <c r="E15" s="274">
        <v>3</v>
      </c>
      <c r="F15" s="274">
        <v>3.5</v>
      </c>
      <c r="G15" s="274">
        <v>4.3</v>
      </c>
      <c r="H15" s="274">
        <v>0.1</v>
      </c>
      <c r="I15" s="421"/>
      <c r="J15" s="265" t="s">
        <v>919</v>
      </c>
      <c r="K15" s="266">
        <v>4.7</v>
      </c>
      <c r="L15" s="264">
        <v>1.3</v>
      </c>
      <c r="M15" s="264">
        <v>2</v>
      </c>
      <c r="N15" s="264">
        <v>6.8</v>
      </c>
      <c r="O15" s="264">
        <v>6.1</v>
      </c>
      <c r="P15" s="264">
        <v>0.9</v>
      </c>
      <c r="Q15" s="261"/>
      <c r="R15" s="272"/>
    </row>
    <row r="16" spans="1:18" s="256" customFormat="1" ht="12.75" customHeight="1">
      <c r="A16" s="419">
        <v>2007</v>
      </c>
      <c r="B16" s="257" t="s">
        <v>916</v>
      </c>
      <c r="C16" s="268">
        <v>12410876</v>
      </c>
      <c r="D16" s="269">
        <v>989294</v>
      </c>
      <c r="E16" s="269">
        <v>2090290</v>
      </c>
      <c r="F16" s="269">
        <v>9301810</v>
      </c>
      <c r="G16" s="269">
        <v>12634</v>
      </c>
      <c r="H16" s="269">
        <v>16848</v>
      </c>
      <c r="I16" s="419">
        <v>2007</v>
      </c>
      <c r="J16" s="260" t="s">
        <v>917</v>
      </c>
      <c r="K16" s="263">
        <v>182590</v>
      </c>
      <c r="L16" s="270">
        <v>31596</v>
      </c>
      <c r="M16" s="270">
        <v>24134</v>
      </c>
      <c r="N16" s="270">
        <v>119569</v>
      </c>
      <c r="O16" s="270">
        <v>765</v>
      </c>
      <c r="P16" s="270">
        <v>6526</v>
      </c>
      <c r="Q16" s="261"/>
      <c r="R16" s="272"/>
    </row>
    <row r="17" spans="1:219" s="256" customFormat="1" ht="12.75" customHeight="1">
      <c r="A17" s="420"/>
      <c r="B17" s="262" t="s">
        <v>918</v>
      </c>
      <c r="C17" s="268">
        <v>100</v>
      </c>
      <c r="D17" s="271">
        <v>8</v>
      </c>
      <c r="E17" s="271">
        <v>16.8</v>
      </c>
      <c r="F17" s="271">
        <v>75</v>
      </c>
      <c r="G17" s="271">
        <v>0.1</v>
      </c>
      <c r="H17" s="271">
        <v>0.1</v>
      </c>
      <c r="I17" s="420"/>
      <c r="J17" s="262" t="s">
        <v>918</v>
      </c>
      <c r="K17" s="263">
        <v>100</v>
      </c>
      <c r="L17" s="264">
        <v>17.3</v>
      </c>
      <c r="M17" s="264">
        <v>13.2</v>
      </c>
      <c r="N17" s="264">
        <v>65.5</v>
      </c>
      <c r="O17" s="264">
        <v>0.4</v>
      </c>
      <c r="P17" s="264">
        <v>3.6</v>
      </c>
      <c r="Q17" s="261"/>
      <c r="R17" s="272"/>
    </row>
    <row r="18" spans="1:219" s="256" customFormat="1" ht="12.75" customHeight="1">
      <c r="A18" s="421"/>
      <c r="B18" s="265" t="s">
        <v>919</v>
      </c>
      <c r="C18" s="273">
        <v>1.8</v>
      </c>
      <c r="D18" s="274">
        <v>2.1</v>
      </c>
      <c r="E18" s="274">
        <v>0.5</v>
      </c>
      <c r="F18" s="274">
        <v>2.1</v>
      </c>
      <c r="G18" s="274">
        <v>9.1999999999999993</v>
      </c>
      <c r="H18" s="274">
        <v>-1.9</v>
      </c>
      <c r="I18" s="421"/>
      <c r="J18" s="265" t="s">
        <v>919</v>
      </c>
      <c r="K18" s="266">
        <v>13.6</v>
      </c>
      <c r="L18" s="264">
        <v>0.6</v>
      </c>
      <c r="M18" s="264">
        <v>0.1</v>
      </c>
      <c r="N18" s="264">
        <v>22.2</v>
      </c>
      <c r="O18" s="264">
        <v>7.9</v>
      </c>
      <c r="P18" s="264">
        <v>-1.9</v>
      </c>
      <c r="Q18" s="261"/>
      <c r="R18" s="272"/>
    </row>
    <row r="19" spans="1:219" s="256" customFormat="1" ht="12.75" customHeight="1">
      <c r="A19" s="419">
        <v>2008</v>
      </c>
      <c r="B19" s="257" t="s">
        <v>916</v>
      </c>
      <c r="C19" s="268">
        <v>12990411</v>
      </c>
      <c r="D19" s="269">
        <v>1018977</v>
      </c>
      <c r="E19" s="269">
        <v>2141872</v>
      </c>
      <c r="F19" s="269">
        <v>9798410</v>
      </c>
      <c r="G19" s="269">
        <v>14162</v>
      </c>
      <c r="H19" s="269">
        <v>16990</v>
      </c>
      <c r="I19" s="419">
        <v>2008</v>
      </c>
      <c r="J19" s="260" t="s">
        <v>917</v>
      </c>
      <c r="K19" s="263">
        <v>168425</v>
      </c>
      <c r="L19" s="270">
        <v>32027</v>
      </c>
      <c r="M19" s="270">
        <v>24740</v>
      </c>
      <c r="N19" s="270">
        <v>104142</v>
      </c>
      <c r="O19" s="270">
        <v>873</v>
      </c>
      <c r="P19" s="270">
        <v>6643</v>
      </c>
      <c r="Q19" s="261"/>
      <c r="R19" s="272"/>
    </row>
    <row r="20" spans="1:219" s="256" customFormat="1" ht="12.75" customHeight="1">
      <c r="A20" s="420"/>
      <c r="B20" s="262" t="s">
        <v>918</v>
      </c>
      <c r="C20" s="268">
        <v>100</v>
      </c>
      <c r="D20" s="271">
        <v>7.8</v>
      </c>
      <c r="E20" s="271">
        <v>16.5</v>
      </c>
      <c r="F20" s="271">
        <v>75.5</v>
      </c>
      <c r="G20" s="271">
        <v>0.1</v>
      </c>
      <c r="H20" s="271">
        <v>0.1</v>
      </c>
      <c r="I20" s="420"/>
      <c r="J20" s="262" t="s">
        <v>918</v>
      </c>
      <c r="K20" s="263">
        <v>100</v>
      </c>
      <c r="L20" s="264">
        <v>19</v>
      </c>
      <c r="M20" s="264">
        <v>14.7</v>
      </c>
      <c r="N20" s="264">
        <v>61.9</v>
      </c>
      <c r="O20" s="264">
        <v>0.5</v>
      </c>
      <c r="P20" s="264">
        <v>3.9</v>
      </c>
      <c r="Q20" s="261"/>
      <c r="R20" s="272"/>
    </row>
    <row r="21" spans="1:219" s="256" customFormat="1" ht="12.75" customHeight="1">
      <c r="A21" s="421"/>
      <c r="B21" s="265" t="s">
        <v>919</v>
      </c>
      <c r="C21" s="276">
        <v>4.7</v>
      </c>
      <c r="D21" s="271">
        <v>3</v>
      </c>
      <c r="E21" s="271">
        <v>2.5</v>
      </c>
      <c r="F21" s="271">
        <v>5.3</v>
      </c>
      <c r="G21" s="271">
        <v>12.1</v>
      </c>
      <c r="H21" s="271">
        <v>0.8</v>
      </c>
      <c r="I21" s="421"/>
      <c r="J21" s="262" t="s">
        <v>919</v>
      </c>
      <c r="K21" s="275">
        <v>-7.8</v>
      </c>
      <c r="L21" s="267">
        <v>1.4</v>
      </c>
      <c r="M21" s="267">
        <v>2.5</v>
      </c>
      <c r="N21" s="267">
        <v>-12.9</v>
      </c>
      <c r="O21" s="267">
        <v>14.1</v>
      </c>
      <c r="P21" s="267">
        <v>1.8</v>
      </c>
      <c r="Q21" s="261"/>
      <c r="R21" s="272"/>
    </row>
    <row r="22" spans="1:219" s="256" customFormat="1" ht="12.75" customHeight="1">
      <c r="A22" s="419">
        <v>2009</v>
      </c>
      <c r="B22" s="257" t="s">
        <v>916</v>
      </c>
      <c r="C22" s="268">
        <v>12958910</v>
      </c>
      <c r="D22" s="269">
        <v>1020319</v>
      </c>
      <c r="E22" s="269">
        <v>2181346</v>
      </c>
      <c r="F22" s="269">
        <v>9724316</v>
      </c>
      <c r="G22" s="269">
        <v>14868</v>
      </c>
      <c r="H22" s="269">
        <v>18061</v>
      </c>
      <c r="I22" s="419">
        <v>2009</v>
      </c>
      <c r="J22" s="260" t="s">
        <v>917</v>
      </c>
      <c r="K22" s="263">
        <v>164575</v>
      </c>
      <c r="L22" s="270">
        <v>31299</v>
      </c>
      <c r="M22" s="270">
        <v>24190</v>
      </c>
      <c r="N22" s="270">
        <v>101114</v>
      </c>
      <c r="O22" s="270">
        <v>867</v>
      </c>
      <c r="P22" s="270">
        <v>7105</v>
      </c>
      <c r="Q22" s="261"/>
      <c r="R22" s="272"/>
    </row>
    <row r="23" spans="1:219" s="256" customFormat="1" ht="12.75" customHeight="1">
      <c r="A23" s="420"/>
      <c r="B23" s="262" t="s">
        <v>918</v>
      </c>
      <c r="C23" s="268">
        <v>100</v>
      </c>
      <c r="D23" s="271">
        <v>7.9</v>
      </c>
      <c r="E23" s="271">
        <v>16.8</v>
      </c>
      <c r="F23" s="271">
        <v>75.099999999999994</v>
      </c>
      <c r="G23" s="271">
        <v>0.1</v>
      </c>
      <c r="H23" s="271">
        <v>0.1</v>
      </c>
      <c r="I23" s="420"/>
      <c r="J23" s="262" t="s">
        <v>918</v>
      </c>
      <c r="K23" s="263">
        <v>100</v>
      </c>
      <c r="L23" s="264">
        <v>19</v>
      </c>
      <c r="M23" s="264">
        <v>14.7</v>
      </c>
      <c r="N23" s="264">
        <v>61.5</v>
      </c>
      <c r="O23" s="264">
        <v>0.5</v>
      </c>
      <c r="P23" s="264">
        <v>4.3</v>
      </c>
      <c r="Q23" s="261"/>
      <c r="R23" s="272"/>
    </row>
    <row r="24" spans="1:219" s="278" customFormat="1" ht="12.75" customHeight="1">
      <c r="A24" s="421"/>
      <c r="B24" s="262" t="s">
        <v>919</v>
      </c>
      <c r="C24" s="276">
        <v>-0.2</v>
      </c>
      <c r="D24" s="271">
        <v>0.1</v>
      </c>
      <c r="E24" s="271">
        <v>1.8</v>
      </c>
      <c r="F24" s="271">
        <v>-0.8</v>
      </c>
      <c r="G24" s="271">
        <v>5</v>
      </c>
      <c r="H24" s="271">
        <v>6.3</v>
      </c>
      <c r="I24" s="421"/>
      <c r="J24" s="262" t="s">
        <v>919</v>
      </c>
      <c r="K24" s="266">
        <v>-2.2999999999999998</v>
      </c>
      <c r="L24" s="264">
        <v>-2.2999999999999998</v>
      </c>
      <c r="M24" s="264">
        <v>-2.2000000000000002</v>
      </c>
      <c r="N24" s="264">
        <v>-2.9</v>
      </c>
      <c r="O24" s="264">
        <v>-0.7</v>
      </c>
      <c r="P24" s="264">
        <v>7</v>
      </c>
      <c r="Q24" s="261"/>
      <c r="R24" s="277"/>
    </row>
    <row r="25" spans="1:219" s="279" customFormat="1" ht="12.75" customHeight="1">
      <c r="A25" s="419">
        <v>2010</v>
      </c>
      <c r="B25" s="257" t="s">
        <v>916</v>
      </c>
      <c r="C25" s="268">
        <v>12867138</v>
      </c>
      <c r="D25" s="269">
        <v>1060941</v>
      </c>
      <c r="E25" s="269">
        <v>2273087</v>
      </c>
      <c r="F25" s="269">
        <v>9498586</v>
      </c>
      <c r="G25" s="269">
        <v>14308</v>
      </c>
      <c r="H25" s="269">
        <v>20216</v>
      </c>
      <c r="I25" s="419">
        <v>2010</v>
      </c>
      <c r="J25" s="260" t="s">
        <v>917</v>
      </c>
      <c r="K25" s="263">
        <v>171946</v>
      </c>
      <c r="L25" s="270">
        <v>33012</v>
      </c>
      <c r="M25" s="270">
        <v>25369</v>
      </c>
      <c r="N25" s="270">
        <v>104671</v>
      </c>
      <c r="O25" s="270">
        <v>883</v>
      </c>
      <c r="P25" s="270">
        <v>8011</v>
      </c>
      <c r="R25" s="280"/>
    </row>
    <row r="26" spans="1:219" s="282" customFormat="1" ht="12.75" customHeight="1">
      <c r="A26" s="420"/>
      <c r="B26" s="262" t="s">
        <v>918</v>
      </c>
      <c r="C26" s="268">
        <v>100</v>
      </c>
      <c r="D26" s="271">
        <v>8.1999999999999993</v>
      </c>
      <c r="E26" s="271">
        <v>17.7</v>
      </c>
      <c r="F26" s="271">
        <v>73.8</v>
      </c>
      <c r="G26" s="271">
        <v>0.1</v>
      </c>
      <c r="H26" s="271">
        <v>0.2</v>
      </c>
      <c r="I26" s="420"/>
      <c r="J26" s="262" t="s">
        <v>918</v>
      </c>
      <c r="K26" s="263">
        <v>100</v>
      </c>
      <c r="L26" s="264">
        <v>19.2</v>
      </c>
      <c r="M26" s="264">
        <v>14.8</v>
      </c>
      <c r="N26" s="264">
        <v>60.8</v>
      </c>
      <c r="O26" s="264">
        <v>0.5</v>
      </c>
      <c r="P26" s="264">
        <v>4.7</v>
      </c>
      <c r="Q26" s="279"/>
      <c r="R26" s="281"/>
    </row>
    <row r="27" spans="1:219" s="282" customFormat="1" ht="12.75" customHeight="1">
      <c r="A27" s="421"/>
      <c r="B27" s="265" t="s">
        <v>919</v>
      </c>
      <c r="C27" s="276">
        <v>-0.7</v>
      </c>
      <c r="D27" s="271">
        <v>4</v>
      </c>
      <c r="E27" s="271">
        <v>4.2</v>
      </c>
      <c r="F27" s="271">
        <v>-2.2999999999999998</v>
      </c>
      <c r="G27" s="271">
        <v>-3.8</v>
      </c>
      <c r="H27" s="271">
        <v>11.9</v>
      </c>
      <c r="I27" s="421"/>
      <c r="J27" s="265" t="s">
        <v>919</v>
      </c>
      <c r="K27" s="266">
        <v>4.5</v>
      </c>
      <c r="L27" s="264">
        <v>5.5</v>
      </c>
      <c r="M27" s="264">
        <v>4.9000000000000004</v>
      </c>
      <c r="N27" s="264">
        <v>3.5</v>
      </c>
      <c r="O27" s="264">
        <v>1.8</v>
      </c>
      <c r="P27" s="264">
        <v>12.8</v>
      </c>
      <c r="Q27" s="279"/>
      <c r="R27" s="281"/>
    </row>
    <row r="28" spans="1:219" s="282" customFormat="1" ht="12.75" customHeight="1">
      <c r="A28" s="419">
        <v>2011</v>
      </c>
      <c r="B28" s="262" t="s">
        <v>916</v>
      </c>
      <c r="C28" s="268">
        <v>29455705</v>
      </c>
      <c r="D28" s="269">
        <v>1118621</v>
      </c>
      <c r="E28" s="269">
        <v>2358758</v>
      </c>
      <c r="F28" s="269">
        <v>25943079</v>
      </c>
      <c r="G28" s="269">
        <v>14266</v>
      </c>
      <c r="H28" s="269">
        <v>20981</v>
      </c>
      <c r="I28" s="419">
        <v>2011</v>
      </c>
      <c r="J28" s="260" t="s">
        <v>920</v>
      </c>
      <c r="K28" s="263">
        <v>416348</v>
      </c>
      <c r="L28" s="270">
        <v>36784</v>
      </c>
      <c r="M28" s="270">
        <v>26260</v>
      </c>
      <c r="N28" s="270">
        <v>343928</v>
      </c>
      <c r="O28" s="270">
        <v>981</v>
      </c>
      <c r="P28" s="270">
        <v>8395</v>
      </c>
      <c r="Q28" s="279"/>
      <c r="R28" s="261"/>
      <c r="S28" s="261"/>
      <c r="T28" s="424"/>
      <c r="U28" s="283"/>
      <c r="V28" s="284"/>
      <c r="W28" s="261"/>
      <c r="X28" s="261"/>
      <c r="Y28" s="261"/>
      <c r="Z28" s="261"/>
      <c r="AA28" s="261"/>
      <c r="AB28" s="424"/>
      <c r="AC28" s="285"/>
      <c r="AD28" s="284"/>
      <c r="AE28" s="261"/>
      <c r="AF28" s="261"/>
      <c r="AG28" s="261"/>
      <c r="AH28" s="261"/>
      <c r="AI28" s="261"/>
      <c r="AJ28" s="424"/>
      <c r="AK28" s="283"/>
      <c r="AL28" s="284"/>
      <c r="AM28" s="261"/>
      <c r="AN28" s="261"/>
      <c r="AO28" s="261"/>
      <c r="AP28" s="261"/>
      <c r="AQ28" s="261"/>
      <c r="AR28" s="424"/>
      <c r="AS28" s="285"/>
      <c r="AT28" s="284"/>
      <c r="AU28" s="261"/>
      <c r="AV28" s="261"/>
      <c r="AW28" s="261"/>
      <c r="AX28" s="261"/>
      <c r="AY28" s="261"/>
      <c r="AZ28" s="424"/>
      <c r="BA28" s="283"/>
      <c r="BB28" s="284"/>
      <c r="BC28" s="261"/>
      <c r="BD28" s="261"/>
      <c r="BE28" s="261"/>
      <c r="BF28" s="261"/>
      <c r="BG28" s="261"/>
      <c r="BH28" s="424"/>
      <c r="BI28" s="285"/>
      <c r="BJ28" s="284"/>
      <c r="BK28" s="261"/>
      <c r="BL28" s="261"/>
      <c r="BM28" s="261"/>
      <c r="BN28" s="261"/>
      <c r="BO28" s="261"/>
      <c r="BP28" s="424"/>
      <c r="BQ28" s="283"/>
      <c r="BR28" s="284"/>
      <c r="BS28" s="261"/>
      <c r="BT28" s="261"/>
      <c r="BU28" s="261"/>
      <c r="BV28" s="261"/>
      <c r="BW28" s="261"/>
      <c r="BX28" s="424"/>
      <c r="BY28" s="285"/>
      <c r="BZ28" s="284"/>
      <c r="CA28" s="261"/>
      <c r="CB28" s="261"/>
      <c r="CC28" s="261"/>
      <c r="CD28" s="261"/>
      <c r="CE28" s="261"/>
      <c r="CF28" s="424"/>
      <c r="CG28" s="283"/>
      <c r="CH28" s="284"/>
      <c r="CI28" s="261"/>
      <c r="CJ28" s="261"/>
      <c r="CK28" s="261"/>
      <c r="CL28" s="261"/>
      <c r="CM28" s="261"/>
      <c r="CN28" s="424"/>
      <c r="CO28" s="285"/>
      <c r="CP28" s="284"/>
      <c r="CQ28" s="261"/>
      <c r="CR28" s="261"/>
      <c r="CS28" s="261"/>
      <c r="CT28" s="261"/>
      <c r="CU28" s="261"/>
      <c r="CV28" s="424"/>
      <c r="CW28" s="283"/>
      <c r="CX28" s="284"/>
      <c r="CY28" s="261"/>
      <c r="CZ28" s="261"/>
      <c r="DA28" s="261"/>
      <c r="DB28" s="261"/>
      <c r="DC28" s="261"/>
      <c r="DD28" s="424"/>
      <c r="DE28" s="285"/>
      <c r="DF28" s="284"/>
      <c r="DG28" s="261"/>
      <c r="DH28" s="261"/>
      <c r="DI28" s="261"/>
      <c r="DJ28" s="261"/>
      <c r="DK28" s="261"/>
      <c r="DL28" s="424"/>
      <c r="DM28" s="283"/>
      <c r="DN28" s="284"/>
      <c r="DO28" s="261"/>
      <c r="DP28" s="261"/>
      <c r="DQ28" s="261"/>
      <c r="DR28" s="261"/>
      <c r="DS28" s="261"/>
      <c r="DT28" s="424"/>
      <c r="DU28" s="285"/>
      <c r="DV28" s="284"/>
      <c r="DW28" s="261"/>
      <c r="DX28" s="261"/>
      <c r="DY28" s="261"/>
      <c r="DZ28" s="261"/>
      <c r="EA28" s="261"/>
      <c r="EB28" s="424"/>
      <c r="EC28" s="283"/>
      <c r="ED28" s="284"/>
      <c r="EE28" s="261"/>
      <c r="EF28" s="261"/>
      <c r="EG28" s="261"/>
      <c r="EH28" s="261"/>
      <c r="EI28" s="261"/>
      <c r="EJ28" s="424"/>
      <c r="EK28" s="285"/>
      <c r="EL28" s="284"/>
      <c r="EM28" s="261"/>
      <c r="EN28" s="261"/>
      <c r="EO28" s="261"/>
      <c r="EP28" s="261"/>
      <c r="EQ28" s="261"/>
      <c r="ER28" s="424"/>
      <c r="ES28" s="283"/>
      <c r="ET28" s="284"/>
      <c r="EU28" s="261"/>
      <c r="EV28" s="261"/>
      <c r="EW28" s="261"/>
      <c r="EX28" s="261"/>
      <c r="EY28" s="261"/>
      <c r="EZ28" s="424"/>
      <c r="FA28" s="285"/>
      <c r="FB28" s="284"/>
      <c r="FC28" s="261"/>
      <c r="FD28" s="261"/>
      <c r="FE28" s="261"/>
      <c r="FF28" s="261"/>
      <c r="FG28" s="261"/>
      <c r="FH28" s="424"/>
      <c r="FI28" s="283"/>
      <c r="FJ28" s="284"/>
      <c r="FK28" s="261"/>
      <c r="FL28" s="261"/>
      <c r="FM28" s="261"/>
      <c r="FN28" s="261"/>
      <c r="FO28" s="261"/>
      <c r="FP28" s="424"/>
      <c r="FQ28" s="285"/>
      <c r="FR28" s="284"/>
      <c r="FS28" s="261"/>
      <c r="FT28" s="261"/>
      <c r="FU28" s="261"/>
      <c r="FV28" s="261"/>
      <c r="FW28" s="261"/>
      <c r="FX28" s="424"/>
      <c r="FY28" s="283"/>
      <c r="FZ28" s="284"/>
      <c r="GA28" s="261"/>
      <c r="GB28" s="261"/>
      <c r="GC28" s="261"/>
      <c r="GD28" s="261"/>
      <c r="GE28" s="261"/>
      <c r="GF28" s="424"/>
      <c r="GG28" s="285"/>
      <c r="GH28" s="284"/>
      <c r="GI28" s="261"/>
      <c r="GJ28" s="261"/>
      <c r="GK28" s="261"/>
      <c r="GL28" s="261"/>
      <c r="GM28" s="261"/>
      <c r="GN28" s="424"/>
      <c r="GO28" s="283"/>
      <c r="GP28" s="284"/>
      <c r="GQ28" s="261"/>
      <c r="GR28" s="261"/>
      <c r="GS28" s="261"/>
      <c r="GT28" s="261"/>
      <c r="GU28" s="261"/>
      <c r="GV28" s="424"/>
      <c r="GW28" s="285"/>
      <c r="GX28" s="284"/>
      <c r="GY28" s="261"/>
      <c r="GZ28" s="261"/>
      <c r="HA28" s="261"/>
      <c r="HB28" s="261"/>
      <c r="HC28" s="261"/>
      <c r="HD28" s="424"/>
      <c r="HE28" s="283"/>
      <c r="HF28" s="284"/>
      <c r="HG28" s="261"/>
      <c r="HH28" s="261"/>
      <c r="HI28" s="261"/>
      <c r="HJ28" s="261"/>
      <c r="HK28" s="261"/>
    </row>
    <row r="29" spans="1:219" s="282" customFormat="1" ht="12.75" customHeight="1">
      <c r="A29" s="420"/>
      <c r="B29" s="262" t="s">
        <v>918</v>
      </c>
      <c r="C29" s="268">
        <v>100</v>
      </c>
      <c r="D29" s="271">
        <v>3.8</v>
      </c>
      <c r="E29" s="271">
        <v>8</v>
      </c>
      <c r="F29" s="271">
        <v>88</v>
      </c>
      <c r="G29" s="271">
        <v>0.1</v>
      </c>
      <c r="H29" s="271">
        <v>0.1</v>
      </c>
      <c r="I29" s="420"/>
      <c r="J29" s="262" t="s">
        <v>918</v>
      </c>
      <c r="K29" s="263">
        <v>100</v>
      </c>
      <c r="L29" s="264">
        <v>8.8000000000000007</v>
      </c>
      <c r="M29" s="264">
        <v>6.3</v>
      </c>
      <c r="N29" s="264">
        <v>82.7</v>
      </c>
      <c r="O29" s="264">
        <v>0.2</v>
      </c>
      <c r="P29" s="264">
        <v>2</v>
      </c>
      <c r="Q29" s="279"/>
      <c r="R29" s="286"/>
      <c r="S29" s="286"/>
      <c r="T29" s="425"/>
      <c r="U29" s="285"/>
      <c r="V29" s="284"/>
      <c r="W29" s="286"/>
      <c r="X29" s="286"/>
      <c r="Y29" s="286"/>
      <c r="Z29" s="286"/>
      <c r="AA29" s="286"/>
      <c r="AB29" s="425"/>
      <c r="AC29" s="285"/>
      <c r="AD29" s="284"/>
      <c r="AE29" s="286"/>
      <c r="AF29" s="286"/>
      <c r="AG29" s="286"/>
      <c r="AH29" s="286"/>
      <c r="AI29" s="286"/>
      <c r="AJ29" s="425"/>
      <c r="AK29" s="285"/>
      <c r="AL29" s="284"/>
      <c r="AM29" s="286"/>
      <c r="AN29" s="286"/>
      <c r="AO29" s="286"/>
      <c r="AP29" s="286"/>
      <c r="AQ29" s="286"/>
      <c r="AR29" s="425"/>
      <c r="AS29" s="285"/>
      <c r="AT29" s="284"/>
      <c r="AU29" s="286"/>
      <c r="AV29" s="286"/>
      <c r="AW29" s="286"/>
      <c r="AX29" s="286"/>
      <c r="AY29" s="286"/>
      <c r="AZ29" s="425"/>
      <c r="BA29" s="285"/>
      <c r="BB29" s="284"/>
      <c r="BC29" s="286"/>
      <c r="BD29" s="286"/>
      <c r="BE29" s="286"/>
      <c r="BF29" s="286"/>
      <c r="BG29" s="286"/>
      <c r="BH29" s="425"/>
      <c r="BI29" s="285"/>
      <c r="BJ29" s="284"/>
      <c r="BK29" s="286"/>
      <c r="BL29" s="286"/>
      <c r="BM29" s="286"/>
      <c r="BN29" s="286"/>
      <c r="BO29" s="286"/>
      <c r="BP29" s="425"/>
      <c r="BQ29" s="285"/>
      <c r="BR29" s="284"/>
      <c r="BS29" s="286"/>
      <c r="BT29" s="286"/>
      <c r="BU29" s="286"/>
      <c r="BV29" s="286"/>
      <c r="BW29" s="286"/>
      <c r="BX29" s="425"/>
      <c r="BY29" s="285"/>
      <c r="BZ29" s="284"/>
      <c r="CA29" s="286"/>
      <c r="CB29" s="286"/>
      <c r="CC29" s="286"/>
      <c r="CD29" s="286"/>
      <c r="CE29" s="286"/>
      <c r="CF29" s="425"/>
      <c r="CG29" s="285"/>
      <c r="CH29" s="284"/>
      <c r="CI29" s="286"/>
      <c r="CJ29" s="286"/>
      <c r="CK29" s="286"/>
      <c r="CL29" s="286"/>
      <c r="CM29" s="286"/>
      <c r="CN29" s="425"/>
      <c r="CO29" s="285"/>
      <c r="CP29" s="284"/>
      <c r="CQ29" s="286"/>
      <c r="CR29" s="286"/>
      <c r="CS29" s="286"/>
      <c r="CT29" s="286"/>
      <c r="CU29" s="286"/>
      <c r="CV29" s="425"/>
      <c r="CW29" s="285"/>
      <c r="CX29" s="284"/>
      <c r="CY29" s="286"/>
      <c r="CZ29" s="286"/>
      <c r="DA29" s="286"/>
      <c r="DB29" s="286"/>
      <c r="DC29" s="286"/>
      <c r="DD29" s="425"/>
      <c r="DE29" s="285"/>
      <c r="DF29" s="284"/>
      <c r="DG29" s="286"/>
      <c r="DH29" s="286"/>
      <c r="DI29" s="286"/>
      <c r="DJ29" s="286"/>
      <c r="DK29" s="286"/>
      <c r="DL29" s="425"/>
      <c r="DM29" s="285"/>
      <c r="DN29" s="284"/>
      <c r="DO29" s="286"/>
      <c r="DP29" s="286"/>
      <c r="DQ29" s="286"/>
      <c r="DR29" s="286"/>
      <c r="DS29" s="286"/>
      <c r="DT29" s="425"/>
      <c r="DU29" s="285"/>
      <c r="DV29" s="284"/>
      <c r="DW29" s="286"/>
      <c r="DX29" s="286"/>
      <c r="DY29" s="286"/>
      <c r="DZ29" s="286"/>
      <c r="EA29" s="286"/>
      <c r="EB29" s="425"/>
      <c r="EC29" s="285"/>
      <c r="ED29" s="284"/>
      <c r="EE29" s="286"/>
      <c r="EF29" s="286"/>
      <c r="EG29" s="286"/>
      <c r="EH29" s="286"/>
      <c r="EI29" s="286"/>
      <c r="EJ29" s="425"/>
      <c r="EK29" s="285"/>
      <c r="EL29" s="284"/>
      <c r="EM29" s="286"/>
      <c r="EN29" s="286"/>
      <c r="EO29" s="286"/>
      <c r="EP29" s="286"/>
      <c r="EQ29" s="286"/>
      <c r="ER29" s="425"/>
      <c r="ES29" s="285"/>
      <c r="ET29" s="284"/>
      <c r="EU29" s="286"/>
      <c r="EV29" s="286"/>
      <c r="EW29" s="286"/>
      <c r="EX29" s="286"/>
      <c r="EY29" s="286"/>
      <c r="EZ29" s="425"/>
      <c r="FA29" s="285"/>
      <c r="FB29" s="284"/>
      <c r="FC29" s="286"/>
      <c r="FD29" s="286"/>
      <c r="FE29" s="286"/>
      <c r="FF29" s="286"/>
      <c r="FG29" s="286"/>
      <c r="FH29" s="425"/>
      <c r="FI29" s="285"/>
      <c r="FJ29" s="284"/>
      <c r="FK29" s="286"/>
      <c r="FL29" s="286"/>
      <c r="FM29" s="286"/>
      <c r="FN29" s="286"/>
      <c r="FO29" s="286"/>
      <c r="FP29" s="425"/>
      <c r="FQ29" s="285"/>
      <c r="FR29" s="284"/>
      <c r="FS29" s="286"/>
      <c r="FT29" s="286"/>
      <c r="FU29" s="286"/>
      <c r="FV29" s="286"/>
      <c r="FW29" s="286"/>
      <c r="FX29" s="425"/>
      <c r="FY29" s="285"/>
      <c r="FZ29" s="284"/>
      <c r="GA29" s="286"/>
      <c r="GB29" s="286"/>
      <c r="GC29" s="286"/>
      <c r="GD29" s="286"/>
      <c r="GE29" s="286"/>
      <c r="GF29" s="425"/>
      <c r="GG29" s="285"/>
      <c r="GH29" s="284"/>
      <c r="GI29" s="286"/>
      <c r="GJ29" s="286"/>
      <c r="GK29" s="286"/>
      <c r="GL29" s="286"/>
      <c r="GM29" s="286"/>
      <c r="GN29" s="425"/>
      <c r="GO29" s="285"/>
      <c r="GP29" s="284"/>
      <c r="GQ29" s="286"/>
      <c r="GR29" s="286"/>
      <c r="GS29" s="286"/>
      <c r="GT29" s="286"/>
      <c r="GU29" s="286"/>
      <c r="GV29" s="425"/>
      <c r="GW29" s="285"/>
      <c r="GX29" s="284"/>
      <c r="GY29" s="286"/>
      <c r="GZ29" s="286"/>
      <c r="HA29" s="286"/>
      <c r="HB29" s="286"/>
      <c r="HC29" s="286"/>
      <c r="HD29" s="425"/>
      <c r="HE29" s="285"/>
      <c r="HF29" s="284"/>
      <c r="HG29" s="286"/>
      <c r="HH29" s="286"/>
      <c r="HI29" s="286"/>
      <c r="HJ29" s="286"/>
      <c r="HK29" s="286"/>
    </row>
    <row r="30" spans="1:219" s="282" customFormat="1" ht="12.75" customHeight="1">
      <c r="A30" s="421"/>
      <c r="B30" s="265" t="s">
        <v>919</v>
      </c>
      <c r="C30" s="276">
        <v>128.9</v>
      </c>
      <c r="D30" s="271">
        <v>5.4</v>
      </c>
      <c r="E30" s="271">
        <v>3.8</v>
      </c>
      <c r="F30" s="271">
        <v>173.1</v>
      </c>
      <c r="G30" s="271">
        <v>-0.3</v>
      </c>
      <c r="H30" s="271">
        <v>3.8</v>
      </c>
      <c r="I30" s="421"/>
      <c r="J30" s="265" t="s">
        <v>919</v>
      </c>
      <c r="K30" s="266">
        <v>142.1</v>
      </c>
      <c r="L30" s="264">
        <v>11.4</v>
      </c>
      <c r="M30" s="264">
        <v>3.5</v>
      </c>
      <c r="N30" s="264">
        <v>228.6</v>
      </c>
      <c r="O30" s="264">
        <v>11.1</v>
      </c>
      <c r="P30" s="264">
        <v>4.8</v>
      </c>
      <c r="Q30" s="279"/>
      <c r="R30" s="287"/>
      <c r="S30" s="287"/>
      <c r="T30" s="425"/>
      <c r="U30" s="285"/>
      <c r="V30" s="287"/>
      <c r="W30" s="287"/>
      <c r="X30" s="287"/>
      <c r="Y30" s="287"/>
      <c r="Z30" s="287"/>
      <c r="AA30" s="287"/>
      <c r="AB30" s="425"/>
      <c r="AC30" s="285"/>
      <c r="AD30" s="287"/>
      <c r="AE30" s="287"/>
      <c r="AF30" s="287"/>
      <c r="AG30" s="287"/>
      <c r="AH30" s="287"/>
      <c r="AI30" s="287"/>
      <c r="AJ30" s="425"/>
      <c r="AK30" s="285"/>
      <c r="AL30" s="287"/>
      <c r="AM30" s="287"/>
      <c r="AN30" s="287"/>
      <c r="AO30" s="287"/>
      <c r="AP30" s="287"/>
      <c r="AQ30" s="287"/>
      <c r="AR30" s="425"/>
      <c r="AS30" s="285"/>
      <c r="AT30" s="287"/>
      <c r="AU30" s="287"/>
      <c r="AV30" s="287"/>
      <c r="AW30" s="287"/>
      <c r="AX30" s="287"/>
      <c r="AY30" s="287"/>
      <c r="AZ30" s="425"/>
      <c r="BA30" s="285"/>
      <c r="BB30" s="287"/>
      <c r="BC30" s="287"/>
      <c r="BD30" s="287"/>
      <c r="BE30" s="287"/>
      <c r="BF30" s="287"/>
      <c r="BG30" s="287"/>
      <c r="BH30" s="425"/>
      <c r="BI30" s="285"/>
      <c r="BJ30" s="287"/>
      <c r="BK30" s="287"/>
      <c r="BL30" s="287"/>
      <c r="BM30" s="287"/>
      <c r="BN30" s="287"/>
      <c r="BO30" s="287"/>
      <c r="BP30" s="425"/>
      <c r="BQ30" s="285"/>
      <c r="BR30" s="287"/>
      <c r="BS30" s="287"/>
      <c r="BT30" s="287"/>
      <c r="BU30" s="287"/>
      <c r="BV30" s="287"/>
      <c r="BW30" s="287"/>
      <c r="BX30" s="425"/>
      <c r="BY30" s="285"/>
      <c r="BZ30" s="287"/>
      <c r="CA30" s="287"/>
      <c r="CB30" s="287"/>
      <c r="CC30" s="287"/>
      <c r="CD30" s="287"/>
      <c r="CE30" s="287"/>
      <c r="CF30" s="425"/>
      <c r="CG30" s="285"/>
      <c r="CH30" s="287"/>
      <c r="CI30" s="287"/>
      <c r="CJ30" s="287"/>
      <c r="CK30" s="287"/>
      <c r="CL30" s="287"/>
      <c r="CM30" s="287"/>
      <c r="CN30" s="425"/>
      <c r="CO30" s="285"/>
      <c r="CP30" s="287"/>
      <c r="CQ30" s="287"/>
      <c r="CR30" s="287"/>
      <c r="CS30" s="287"/>
      <c r="CT30" s="287"/>
      <c r="CU30" s="287"/>
      <c r="CV30" s="425"/>
      <c r="CW30" s="285"/>
      <c r="CX30" s="287"/>
      <c r="CY30" s="287"/>
      <c r="CZ30" s="287"/>
      <c r="DA30" s="287"/>
      <c r="DB30" s="287"/>
      <c r="DC30" s="287"/>
      <c r="DD30" s="425"/>
      <c r="DE30" s="285"/>
      <c r="DF30" s="287"/>
      <c r="DG30" s="287"/>
      <c r="DH30" s="287"/>
      <c r="DI30" s="287"/>
      <c r="DJ30" s="287"/>
      <c r="DK30" s="287"/>
      <c r="DL30" s="425"/>
      <c r="DM30" s="285"/>
      <c r="DN30" s="287"/>
      <c r="DO30" s="287"/>
      <c r="DP30" s="287"/>
      <c r="DQ30" s="287"/>
      <c r="DR30" s="287"/>
      <c r="DS30" s="287"/>
      <c r="DT30" s="425"/>
      <c r="DU30" s="285"/>
      <c r="DV30" s="287"/>
      <c r="DW30" s="287"/>
      <c r="DX30" s="287"/>
      <c r="DY30" s="287"/>
      <c r="DZ30" s="287"/>
      <c r="EA30" s="287"/>
      <c r="EB30" s="425"/>
      <c r="EC30" s="285"/>
      <c r="ED30" s="287"/>
      <c r="EE30" s="287"/>
      <c r="EF30" s="287"/>
      <c r="EG30" s="287"/>
      <c r="EH30" s="287"/>
      <c r="EI30" s="287"/>
      <c r="EJ30" s="425"/>
      <c r="EK30" s="285"/>
      <c r="EL30" s="287"/>
      <c r="EM30" s="287"/>
      <c r="EN30" s="287"/>
      <c r="EO30" s="287"/>
      <c r="EP30" s="287"/>
      <c r="EQ30" s="287"/>
      <c r="ER30" s="425"/>
      <c r="ES30" s="285"/>
      <c r="ET30" s="287"/>
      <c r="EU30" s="287"/>
      <c r="EV30" s="287"/>
      <c r="EW30" s="287"/>
      <c r="EX30" s="287"/>
      <c r="EY30" s="287"/>
      <c r="EZ30" s="425"/>
      <c r="FA30" s="285"/>
      <c r="FB30" s="287"/>
      <c r="FC30" s="287"/>
      <c r="FD30" s="287"/>
      <c r="FE30" s="287"/>
      <c r="FF30" s="287"/>
      <c r="FG30" s="287"/>
      <c r="FH30" s="425"/>
      <c r="FI30" s="285"/>
      <c r="FJ30" s="287"/>
      <c r="FK30" s="287"/>
      <c r="FL30" s="287"/>
      <c r="FM30" s="287"/>
      <c r="FN30" s="287"/>
      <c r="FO30" s="287"/>
      <c r="FP30" s="425"/>
      <c r="FQ30" s="285"/>
      <c r="FR30" s="287"/>
      <c r="FS30" s="287"/>
      <c r="FT30" s="287"/>
      <c r="FU30" s="287"/>
      <c r="FV30" s="287"/>
      <c r="FW30" s="287"/>
      <c r="FX30" s="425"/>
      <c r="FY30" s="285"/>
      <c r="FZ30" s="287"/>
      <c r="GA30" s="287"/>
      <c r="GB30" s="287"/>
      <c r="GC30" s="287"/>
      <c r="GD30" s="287"/>
      <c r="GE30" s="287"/>
      <c r="GF30" s="425"/>
      <c r="GG30" s="285"/>
      <c r="GH30" s="287"/>
      <c r="GI30" s="287"/>
      <c r="GJ30" s="287"/>
      <c r="GK30" s="287"/>
      <c r="GL30" s="287"/>
      <c r="GM30" s="287"/>
      <c r="GN30" s="425"/>
      <c r="GO30" s="285"/>
      <c r="GP30" s="287"/>
      <c r="GQ30" s="287"/>
      <c r="GR30" s="287"/>
      <c r="GS30" s="287"/>
      <c r="GT30" s="287"/>
      <c r="GU30" s="287"/>
      <c r="GV30" s="425"/>
      <c r="GW30" s="285"/>
      <c r="GX30" s="287"/>
      <c r="GY30" s="287"/>
      <c r="GZ30" s="287"/>
      <c r="HA30" s="287"/>
      <c r="HB30" s="287"/>
      <c r="HC30" s="287"/>
      <c r="HD30" s="425"/>
      <c r="HE30" s="285"/>
      <c r="HF30" s="287"/>
      <c r="HG30" s="287"/>
      <c r="HH30" s="287"/>
      <c r="HI30" s="287"/>
      <c r="HJ30" s="287"/>
      <c r="HK30" s="287"/>
    </row>
    <row r="31" spans="1:219" s="282" customFormat="1" ht="12.75" customHeight="1">
      <c r="A31" s="419">
        <v>2012</v>
      </c>
      <c r="B31" s="262" t="s">
        <v>916</v>
      </c>
      <c r="C31" s="288">
        <v>29579409</v>
      </c>
      <c r="D31" s="289">
        <v>1149340</v>
      </c>
      <c r="E31" s="289">
        <v>2410931</v>
      </c>
      <c r="F31" s="289">
        <v>25982998</v>
      </c>
      <c r="G31" s="289">
        <v>14538</v>
      </c>
      <c r="H31" s="289">
        <v>21602</v>
      </c>
      <c r="I31" s="419">
        <v>2012</v>
      </c>
      <c r="J31" s="260" t="s">
        <v>920</v>
      </c>
      <c r="K31" s="290">
        <v>429928</v>
      </c>
      <c r="L31" s="291">
        <v>42493</v>
      </c>
      <c r="M31" s="291">
        <v>27586</v>
      </c>
      <c r="N31" s="291">
        <v>350217</v>
      </c>
      <c r="O31" s="291">
        <v>922</v>
      </c>
      <c r="P31" s="291">
        <v>8710</v>
      </c>
      <c r="Q31" s="279"/>
      <c r="R31" s="281"/>
    </row>
    <row r="32" spans="1:219" s="282" customFormat="1" ht="12.75" customHeight="1">
      <c r="A32" s="420"/>
      <c r="B32" s="262" t="s">
        <v>918</v>
      </c>
      <c r="C32" s="268">
        <v>100</v>
      </c>
      <c r="D32" s="271">
        <v>3.9</v>
      </c>
      <c r="E32" s="271">
        <v>8.1999999999999993</v>
      </c>
      <c r="F32" s="271">
        <v>87.7</v>
      </c>
      <c r="G32" s="271">
        <v>0.1</v>
      </c>
      <c r="H32" s="271">
        <v>0.1</v>
      </c>
      <c r="I32" s="420"/>
      <c r="J32" s="262" t="s">
        <v>918</v>
      </c>
      <c r="K32" s="263">
        <v>100</v>
      </c>
      <c r="L32" s="264">
        <v>9.9</v>
      </c>
      <c r="M32" s="264">
        <v>6.4</v>
      </c>
      <c r="N32" s="264">
        <v>81.5</v>
      </c>
      <c r="O32" s="264">
        <v>0.2</v>
      </c>
      <c r="P32" s="264">
        <v>2</v>
      </c>
      <c r="Q32" s="279"/>
      <c r="R32" s="281"/>
    </row>
    <row r="33" spans="1:18" s="293" customFormat="1" ht="12.75" customHeight="1">
      <c r="A33" s="421"/>
      <c r="B33" s="265" t="s">
        <v>919</v>
      </c>
      <c r="C33" s="276">
        <v>0.4</v>
      </c>
      <c r="D33" s="271">
        <v>2.7</v>
      </c>
      <c r="E33" s="271">
        <v>2.2000000000000002</v>
      </c>
      <c r="F33" s="271">
        <v>0.2</v>
      </c>
      <c r="G33" s="271">
        <v>1.9</v>
      </c>
      <c r="H33" s="271">
        <v>3</v>
      </c>
      <c r="I33" s="421"/>
      <c r="J33" s="265" t="s">
        <v>919</v>
      </c>
      <c r="K33" s="266">
        <v>3.3</v>
      </c>
      <c r="L33" s="264">
        <v>15.5</v>
      </c>
      <c r="M33" s="264">
        <v>5</v>
      </c>
      <c r="N33" s="264">
        <v>1.8</v>
      </c>
      <c r="O33" s="264">
        <v>-6</v>
      </c>
      <c r="P33" s="264">
        <v>3.8</v>
      </c>
      <c r="Q33" s="279"/>
      <c r="R33" s="292"/>
    </row>
    <row r="34" spans="1:18" s="279" customFormat="1" ht="12.75" customHeight="1">
      <c r="A34" s="419">
        <v>2013</v>
      </c>
      <c r="B34" s="257" t="s">
        <v>916</v>
      </c>
      <c r="C34" s="288">
        <v>30067308</v>
      </c>
      <c r="D34" s="289">
        <v>1224820</v>
      </c>
      <c r="E34" s="289">
        <v>2476394</v>
      </c>
      <c r="F34" s="289">
        <v>26327678</v>
      </c>
      <c r="G34" s="289">
        <v>16063</v>
      </c>
      <c r="H34" s="289">
        <v>22353</v>
      </c>
      <c r="I34" s="419">
        <v>2013</v>
      </c>
      <c r="J34" s="260" t="s">
        <v>920</v>
      </c>
      <c r="K34" s="290">
        <v>438154</v>
      </c>
      <c r="L34" s="291">
        <v>38531</v>
      </c>
      <c r="M34" s="291">
        <v>27822</v>
      </c>
      <c r="N34" s="291">
        <v>361696</v>
      </c>
      <c r="O34" s="291">
        <v>1012</v>
      </c>
      <c r="P34" s="291">
        <v>9093</v>
      </c>
      <c r="R34" s="280"/>
    </row>
    <row r="35" spans="1:18" s="279" customFormat="1" ht="12.75" customHeight="1">
      <c r="A35" s="420"/>
      <c r="B35" s="262" t="s">
        <v>918</v>
      </c>
      <c r="C35" s="268">
        <v>100</v>
      </c>
      <c r="D35" s="271">
        <v>4.0999999999999996</v>
      </c>
      <c r="E35" s="271">
        <v>8.1999999999999993</v>
      </c>
      <c r="F35" s="271">
        <v>87.5</v>
      </c>
      <c r="G35" s="271">
        <v>0.1</v>
      </c>
      <c r="H35" s="271">
        <v>0.1</v>
      </c>
      <c r="I35" s="420"/>
      <c r="J35" s="262" t="s">
        <v>918</v>
      </c>
      <c r="K35" s="263">
        <v>100</v>
      </c>
      <c r="L35" s="264">
        <v>8.8000000000000007</v>
      </c>
      <c r="M35" s="264">
        <v>6.3</v>
      </c>
      <c r="N35" s="264">
        <v>82.6</v>
      </c>
      <c r="O35" s="264">
        <v>0.2</v>
      </c>
      <c r="P35" s="264">
        <v>2.1</v>
      </c>
      <c r="R35" s="280"/>
    </row>
    <row r="36" spans="1:18" s="294" customFormat="1" ht="12.75" customHeight="1">
      <c r="A36" s="421"/>
      <c r="B36" s="265" t="s">
        <v>919</v>
      </c>
      <c r="C36" s="276">
        <v>1.6</v>
      </c>
      <c r="D36" s="271">
        <v>6.6</v>
      </c>
      <c r="E36" s="271">
        <v>2.7</v>
      </c>
      <c r="F36" s="271">
        <v>1.3</v>
      </c>
      <c r="G36" s="271">
        <v>10.5</v>
      </c>
      <c r="H36" s="271">
        <v>3.5</v>
      </c>
      <c r="I36" s="421"/>
      <c r="J36" s="265" t="s">
        <v>919</v>
      </c>
      <c r="K36" s="266">
        <v>1.9</v>
      </c>
      <c r="L36" s="264">
        <v>-9.3000000000000007</v>
      </c>
      <c r="M36" s="264">
        <v>0.9</v>
      </c>
      <c r="N36" s="264">
        <v>3.3</v>
      </c>
      <c r="O36" s="264">
        <v>9.8000000000000007</v>
      </c>
      <c r="P36" s="264">
        <v>4.4000000000000004</v>
      </c>
      <c r="R36" s="295"/>
    </row>
    <row r="37" spans="1:18" s="298" customFormat="1" ht="12.75" customHeight="1">
      <c r="A37" s="419">
        <v>2014</v>
      </c>
      <c r="B37" s="257" t="s">
        <v>921</v>
      </c>
      <c r="C37" s="288">
        <v>30507071</v>
      </c>
      <c r="D37" s="289">
        <v>1263472</v>
      </c>
      <c r="E37" s="289">
        <v>2526167</v>
      </c>
      <c r="F37" s="296">
        <v>26678513</v>
      </c>
      <c r="G37" s="289">
        <v>14271</v>
      </c>
      <c r="H37" s="289">
        <v>24648</v>
      </c>
      <c r="I37" s="419">
        <v>2014</v>
      </c>
      <c r="J37" s="257" t="s">
        <v>920</v>
      </c>
      <c r="K37" s="290">
        <v>439049</v>
      </c>
      <c r="L37" s="291">
        <v>39500</v>
      </c>
      <c r="M37" s="291">
        <v>28360</v>
      </c>
      <c r="N37" s="297">
        <v>360936</v>
      </c>
      <c r="O37" s="291">
        <v>756</v>
      </c>
      <c r="P37" s="291">
        <v>9497</v>
      </c>
      <c r="R37" s="299"/>
    </row>
    <row r="38" spans="1:18" s="298" customFormat="1" ht="12.75" customHeight="1">
      <c r="A38" s="420"/>
      <c r="B38" s="262" t="s">
        <v>922</v>
      </c>
      <c r="C38" s="268">
        <v>100</v>
      </c>
      <c r="D38" s="271">
        <v>4.0999999999999996</v>
      </c>
      <c r="E38" s="271">
        <v>8.3000000000000007</v>
      </c>
      <c r="F38" s="271">
        <v>87.4</v>
      </c>
      <c r="G38" s="271">
        <v>0.1</v>
      </c>
      <c r="H38" s="271">
        <v>0.1</v>
      </c>
      <c r="I38" s="420"/>
      <c r="J38" s="262" t="s">
        <v>922</v>
      </c>
      <c r="K38" s="263">
        <v>100</v>
      </c>
      <c r="L38" s="264">
        <v>9</v>
      </c>
      <c r="M38" s="264">
        <v>6.5</v>
      </c>
      <c r="N38" s="264">
        <v>82.1</v>
      </c>
      <c r="O38" s="264">
        <v>0.2</v>
      </c>
      <c r="P38" s="264">
        <v>2.2000000000000002</v>
      </c>
      <c r="R38" s="299"/>
    </row>
    <row r="39" spans="1:18" s="300" customFormat="1" ht="12.75" customHeight="1">
      <c r="A39" s="421"/>
      <c r="B39" s="265" t="s">
        <v>923</v>
      </c>
      <c r="C39" s="276">
        <v>1.5</v>
      </c>
      <c r="D39" s="271">
        <v>3.2</v>
      </c>
      <c r="E39" s="271">
        <v>2</v>
      </c>
      <c r="F39" s="271">
        <v>1.3</v>
      </c>
      <c r="G39" s="271">
        <v>-11.2</v>
      </c>
      <c r="H39" s="271">
        <v>10.3</v>
      </c>
      <c r="I39" s="421"/>
      <c r="J39" s="265" t="s">
        <v>923</v>
      </c>
      <c r="K39" s="266">
        <v>0.2</v>
      </c>
      <c r="L39" s="264">
        <v>2.5</v>
      </c>
      <c r="M39" s="264">
        <v>1.9</v>
      </c>
      <c r="N39" s="264">
        <v>-0.2</v>
      </c>
      <c r="O39" s="264">
        <v>-25.3</v>
      </c>
      <c r="P39" s="264">
        <v>4.4000000000000004</v>
      </c>
      <c r="R39" s="301"/>
    </row>
    <row r="40" spans="1:18" s="300" customFormat="1" ht="12.75" customHeight="1">
      <c r="A40" s="419">
        <v>2015</v>
      </c>
      <c r="B40" s="262" t="s">
        <v>916</v>
      </c>
      <c r="C40" s="268">
        <v>31029472</v>
      </c>
      <c r="D40" s="269">
        <v>1269417</v>
      </c>
      <c r="E40" s="269">
        <v>2522900</v>
      </c>
      <c r="F40" s="269">
        <v>27193794</v>
      </c>
      <c r="G40" s="269">
        <v>15381</v>
      </c>
      <c r="H40" s="269">
        <v>27980</v>
      </c>
      <c r="I40" s="419">
        <v>2015</v>
      </c>
      <c r="J40" s="302" t="s">
        <v>920</v>
      </c>
      <c r="K40" s="303">
        <v>464853</v>
      </c>
      <c r="L40" s="304">
        <v>40343</v>
      </c>
      <c r="M40" s="304">
        <v>28028</v>
      </c>
      <c r="N40" s="304">
        <v>385018</v>
      </c>
      <c r="O40" s="304">
        <v>757</v>
      </c>
      <c r="P40" s="304">
        <v>10707</v>
      </c>
      <c r="Q40" s="305"/>
      <c r="R40" s="301"/>
    </row>
    <row r="41" spans="1:18" s="300" customFormat="1" ht="12.75" customHeight="1">
      <c r="A41" s="420"/>
      <c r="B41" s="262" t="s">
        <v>918</v>
      </c>
      <c r="C41" s="276">
        <v>100</v>
      </c>
      <c r="D41" s="271">
        <v>4.0999999999999996</v>
      </c>
      <c r="E41" s="271">
        <v>8.1</v>
      </c>
      <c r="F41" s="271">
        <v>87.6</v>
      </c>
      <c r="G41" s="271">
        <v>0.1</v>
      </c>
      <c r="H41" s="271">
        <v>0.1</v>
      </c>
      <c r="I41" s="420"/>
      <c r="J41" s="262" t="s">
        <v>918</v>
      </c>
      <c r="K41" s="306">
        <v>100</v>
      </c>
      <c r="L41" s="307">
        <v>8.6999999999999993</v>
      </c>
      <c r="M41" s="307">
        <v>6</v>
      </c>
      <c r="N41" s="307">
        <v>82.8</v>
      </c>
      <c r="O41" s="307">
        <v>0.2</v>
      </c>
      <c r="P41" s="307">
        <v>2.2999999999999998</v>
      </c>
      <c r="Q41" s="308"/>
      <c r="R41" s="301"/>
    </row>
    <row r="42" spans="1:18" s="300" customFormat="1" ht="12.75" customHeight="1">
      <c r="A42" s="421"/>
      <c r="B42" s="262" t="s">
        <v>919</v>
      </c>
      <c r="C42" s="276">
        <v>1.7</v>
      </c>
      <c r="D42" s="271">
        <v>0.5</v>
      </c>
      <c r="E42" s="271">
        <v>-0.1</v>
      </c>
      <c r="F42" s="271">
        <v>1.9</v>
      </c>
      <c r="G42" s="271">
        <v>7.8</v>
      </c>
      <c r="H42" s="271">
        <v>13.5</v>
      </c>
      <c r="I42" s="421"/>
      <c r="J42" s="262" t="s">
        <v>919</v>
      </c>
      <c r="K42" s="306">
        <v>5.9</v>
      </c>
      <c r="L42" s="307">
        <v>2.1</v>
      </c>
      <c r="M42" s="307">
        <v>-1.2</v>
      </c>
      <c r="N42" s="307">
        <v>6.7</v>
      </c>
      <c r="O42" s="307">
        <v>0.1</v>
      </c>
      <c r="P42" s="307">
        <v>12.7</v>
      </c>
      <c r="Q42" s="309"/>
      <c r="R42" s="301"/>
    </row>
    <row r="43" spans="1:18" s="300" customFormat="1" ht="12.75" customHeight="1">
      <c r="A43" s="419">
        <v>2016</v>
      </c>
      <c r="B43" s="257" t="s">
        <v>921</v>
      </c>
      <c r="C43" s="288">
        <v>33158711</v>
      </c>
      <c r="D43" s="289">
        <v>1449535</v>
      </c>
      <c r="E43" s="289">
        <v>3572127</v>
      </c>
      <c r="F43" s="296">
        <v>28090714</v>
      </c>
      <c r="G43" s="289">
        <v>15423</v>
      </c>
      <c r="H43" s="289">
        <v>30913</v>
      </c>
      <c r="I43" s="419">
        <v>2016</v>
      </c>
      <c r="J43" s="257" t="s">
        <v>920</v>
      </c>
      <c r="K43" s="288">
        <v>490071</v>
      </c>
      <c r="L43" s="291">
        <v>43384</v>
      </c>
      <c r="M43" s="291">
        <v>43487</v>
      </c>
      <c r="N43" s="296">
        <v>390541</v>
      </c>
      <c r="O43" s="291">
        <v>839</v>
      </c>
      <c r="P43" s="291">
        <v>11820</v>
      </c>
      <c r="Q43" s="305"/>
      <c r="R43" s="301"/>
    </row>
    <row r="44" spans="1:18" s="300" customFormat="1" ht="12.75" customHeight="1">
      <c r="A44" s="420"/>
      <c r="B44" s="262" t="s">
        <v>922</v>
      </c>
      <c r="C44" s="276">
        <v>100</v>
      </c>
      <c r="D44" s="271">
        <v>4.3715028608922708</v>
      </c>
      <c r="E44" s="271">
        <v>10.772816229195399</v>
      </c>
      <c r="F44" s="271">
        <v>84.715940857894026</v>
      </c>
      <c r="G44" s="271">
        <v>4.6512664500136934E-2</v>
      </c>
      <c r="H44" s="271">
        <v>9.3227387518169808E-2</v>
      </c>
      <c r="I44" s="420"/>
      <c r="J44" s="262" t="s">
        <v>922</v>
      </c>
      <c r="K44" s="266">
        <v>100</v>
      </c>
      <c r="L44" s="264">
        <v>8.9</v>
      </c>
      <c r="M44" s="264">
        <v>8.9</v>
      </c>
      <c r="N44" s="264">
        <v>79.7</v>
      </c>
      <c r="O44" s="264">
        <v>0.16916755047806467</v>
      </c>
      <c r="P44" s="264">
        <v>2.3832663249710664</v>
      </c>
      <c r="Q44" s="308"/>
      <c r="R44" s="310"/>
    </row>
    <row r="45" spans="1:18" s="300" customFormat="1" ht="12.75" customHeight="1">
      <c r="A45" s="421"/>
      <c r="B45" s="265" t="s">
        <v>923</v>
      </c>
      <c r="C45" s="276">
        <v>6.8619891437405061</v>
      </c>
      <c r="D45" s="271">
        <v>14.18895445704603</v>
      </c>
      <c r="E45" s="271">
        <v>41.588132704427444</v>
      </c>
      <c r="F45" s="271">
        <v>3.3</v>
      </c>
      <c r="G45" s="311">
        <v>0.3</v>
      </c>
      <c r="H45" s="271">
        <v>10.5</v>
      </c>
      <c r="I45" s="421"/>
      <c r="J45" s="265" t="s">
        <v>923</v>
      </c>
      <c r="K45" s="266">
        <v>5.4</v>
      </c>
      <c r="L45" s="264">
        <v>7.5</v>
      </c>
      <c r="M45" s="264">
        <v>55.2</v>
      </c>
      <c r="N45" s="264">
        <v>1.4</v>
      </c>
      <c r="O45" s="312">
        <v>10.8</v>
      </c>
      <c r="P45" s="264">
        <v>10.4</v>
      </c>
      <c r="R45" s="301"/>
    </row>
    <row r="46" spans="1:18" s="300" customFormat="1" ht="12.75" customHeight="1">
      <c r="A46" s="419">
        <v>2017</v>
      </c>
      <c r="B46" s="257" t="s">
        <v>921</v>
      </c>
      <c r="C46" s="268">
        <v>33336714</v>
      </c>
      <c r="D46" s="269">
        <v>1490319</v>
      </c>
      <c r="E46" s="269">
        <v>3604712</v>
      </c>
      <c r="F46" s="269">
        <v>28192366</v>
      </c>
      <c r="G46" s="269">
        <v>16910</v>
      </c>
      <c r="H46" s="269">
        <v>32406</v>
      </c>
      <c r="I46" s="419">
        <v>2017</v>
      </c>
      <c r="J46" s="257" t="s">
        <v>920</v>
      </c>
      <c r="K46" s="268">
        <v>496319</v>
      </c>
      <c r="L46" s="270">
        <v>46295</v>
      </c>
      <c r="M46" s="270">
        <v>43669</v>
      </c>
      <c r="N46" s="270">
        <v>393196</v>
      </c>
      <c r="O46" s="270">
        <v>916</v>
      </c>
      <c r="P46" s="270">
        <v>12243</v>
      </c>
      <c r="Q46" s="308"/>
      <c r="R46" s="301"/>
    </row>
    <row r="47" spans="1:18" s="300" customFormat="1" ht="12.75" customHeight="1">
      <c r="A47" s="420"/>
      <c r="B47" s="262" t="s">
        <v>922</v>
      </c>
      <c r="C47" s="276">
        <v>100</v>
      </c>
      <c r="D47" s="271">
        <v>4.5</v>
      </c>
      <c r="E47" s="271">
        <v>10.8</v>
      </c>
      <c r="F47" s="271">
        <v>84.6</v>
      </c>
      <c r="G47" s="271">
        <v>0.1</v>
      </c>
      <c r="H47" s="271">
        <v>0.1</v>
      </c>
      <c r="I47" s="420"/>
      <c r="J47" s="262" t="s">
        <v>922</v>
      </c>
      <c r="K47" s="266">
        <v>100</v>
      </c>
      <c r="L47" s="271">
        <v>9.3000000000000007</v>
      </c>
      <c r="M47" s="271">
        <v>8.8000000000000007</v>
      </c>
      <c r="N47" s="271">
        <v>79.2</v>
      </c>
      <c r="O47" s="271">
        <v>0.2</v>
      </c>
      <c r="P47" s="271">
        <v>2.5</v>
      </c>
      <c r="Q47" s="308"/>
      <c r="R47" s="310"/>
    </row>
    <row r="48" spans="1:18" s="300" customFormat="1" ht="12.75" customHeight="1">
      <c r="A48" s="421"/>
      <c r="B48" s="265" t="s">
        <v>923</v>
      </c>
      <c r="C48" s="271">
        <v>0.5</v>
      </c>
      <c r="D48" s="271">
        <v>2.8093856370392141</v>
      </c>
      <c r="E48" s="271">
        <v>0.91214562080239592</v>
      </c>
      <c r="F48" s="271">
        <v>0.4</v>
      </c>
      <c r="G48" s="271">
        <v>9.6</v>
      </c>
      <c r="H48" s="271">
        <v>4.8296833047585155</v>
      </c>
      <c r="I48" s="421"/>
      <c r="J48" s="265" t="s">
        <v>923</v>
      </c>
      <c r="K48" s="271">
        <v>0</v>
      </c>
      <c r="L48" s="264">
        <v>-12.235910133338745</v>
      </c>
      <c r="M48" s="271">
        <v>0.53121766126250425</v>
      </c>
      <c r="N48" s="264">
        <v>0</v>
      </c>
      <c r="O48" s="264">
        <v>0</v>
      </c>
      <c r="P48" s="264">
        <v>3.578680203045685</v>
      </c>
      <c r="R48" s="301"/>
    </row>
    <row r="49" spans="1:18" s="300" customFormat="1" ht="12.75" customHeight="1">
      <c r="A49" s="427">
        <v>2018</v>
      </c>
      <c r="B49" s="313" t="s">
        <v>921</v>
      </c>
      <c r="C49" s="314">
        <v>33595786.093999997</v>
      </c>
      <c r="D49" s="314">
        <v>1521590</v>
      </c>
      <c r="E49" s="314">
        <v>3618352</v>
      </c>
      <c r="F49" s="315">
        <v>28409618</v>
      </c>
      <c r="G49" s="314">
        <v>14625.484</v>
      </c>
      <c r="H49" s="314">
        <v>31600.61</v>
      </c>
      <c r="I49" s="427">
        <v>2018</v>
      </c>
      <c r="J49" s="313" t="s">
        <v>920</v>
      </c>
      <c r="K49" s="314">
        <v>504501.23360699997</v>
      </c>
      <c r="L49" s="316">
        <v>48027</v>
      </c>
      <c r="M49" s="316">
        <v>44166</v>
      </c>
      <c r="N49" s="315">
        <v>399604</v>
      </c>
      <c r="O49" s="316">
        <v>822.23360700000001</v>
      </c>
      <c r="P49" s="316">
        <v>11882</v>
      </c>
      <c r="R49" s="301"/>
    </row>
    <row r="50" spans="1:18" s="300" customFormat="1" ht="12.75" customHeight="1">
      <c r="A50" s="427"/>
      <c r="B50" s="313" t="s">
        <v>922</v>
      </c>
      <c r="C50" s="317">
        <v>100.00000000000001</v>
      </c>
      <c r="D50" s="317">
        <v>4.5291096798349564</v>
      </c>
      <c r="E50" s="317">
        <v>10.770255501317815</v>
      </c>
      <c r="F50" s="317">
        <v>84.563039901822052</v>
      </c>
      <c r="G50" s="317">
        <v>4.3533685918461136E-2</v>
      </c>
      <c r="H50" s="317">
        <v>9.4061231106730009E-2</v>
      </c>
      <c r="I50" s="427"/>
      <c r="J50" s="313" t="s">
        <v>922</v>
      </c>
      <c r="K50" s="318">
        <v>100</v>
      </c>
      <c r="L50" s="318">
        <v>9.5196992198858368</v>
      </c>
      <c r="M50" s="318">
        <v>8.7543889009406772</v>
      </c>
      <c r="N50" s="318">
        <v>79.207734962901284</v>
      </c>
      <c r="O50" s="318">
        <v>0.16297950376083906</v>
      </c>
      <c r="P50" s="318">
        <v>2.355197412511369</v>
      </c>
      <c r="R50" s="301"/>
    </row>
    <row r="51" spans="1:18" s="300" customFormat="1" ht="12.75" customHeight="1">
      <c r="A51" s="428"/>
      <c r="B51" s="319" t="s">
        <v>923</v>
      </c>
      <c r="C51" s="320">
        <v>0.7771404877259398</v>
      </c>
      <c r="D51" s="320">
        <v>2.0982756040820791</v>
      </c>
      <c r="E51" s="320">
        <v>0.37839361369230051</v>
      </c>
      <c r="F51" s="320">
        <v>0.77060577320825074</v>
      </c>
      <c r="G51" s="321">
        <v>-13.509852158486101</v>
      </c>
      <c r="H51" s="321">
        <v>-2.4853113620934377</v>
      </c>
      <c r="I51" s="428"/>
      <c r="J51" s="319" t="s">
        <v>923</v>
      </c>
      <c r="K51" s="322">
        <v>1.6485835938176805</v>
      </c>
      <c r="L51" s="321">
        <v>3.7412247542931203</v>
      </c>
      <c r="M51" s="321">
        <v>1.1381071240468066</v>
      </c>
      <c r="N51" s="321">
        <v>1.6297215638002422</v>
      </c>
      <c r="O51" s="323">
        <v>-10.2365057860262</v>
      </c>
      <c r="P51" s="321">
        <v>-2.9486237033406844</v>
      </c>
      <c r="R51" s="301"/>
    </row>
    <row r="52" spans="1:18" s="324" customFormat="1" ht="55.15" customHeight="1">
      <c r="A52" s="426" t="s">
        <v>924</v>
      </c>
      <c r="B52" s="426"/>
      <c r="C52" s="426"/>
      <c r="D52" s="426"/>
      <c r="E52" s="426"/>
      <c r="F52" s="426"/>
      <c r="G52" s="426"/>
      <c r="H52" s="426"/>
    </row>
    <row r="53" spans="1:18">
      <c r="B53" s="324"/>
      <c r="C53" s="326"/>
      <c r="J53" s="324"/>
    </row>
  </sheetData>
  <mergeCells count="62">
    <mergeCell ref="A52:H52"/>
    <mergeCell ref="A43:A45"/>
    <mergeCell ref="I43:I45"/>
    <mergeCell ref="A46:A48"/>
    <mergeCell ref="I46:I48"/>
    <mergeCell ref="A49:A51"/>
    <mergeCell ref="I49:I51"/>
    <mergeCell ref="A34:A36"/>
    <mergeCell ref="I34:I36"/>
    <mergeCell ref="A37:A39"/>
    <mergeCell ref="I37:I39"/>
    <mergeCell ref="A40:A42"/>
    <mergeCell ref="I40:I42"/>
    <mergeCell ref="FX28:FX30"/>
    <mergeCell ref="GF28:GF30"/>
    <mergeCell ref="GN28:GN30"/>
    <mergeCell ref="GV28:GV30"/>
    <mergeCell ref="HD28:HD30"/>
    <mergeCell ref="A31:A33"/>
    <mergeCell ref="I31:I33"/>
    <mergeCell ref="EB28:EB30"/>
    <mergeCell ref="EJ28:EJ30"/>
    <mergeCell ref="ER28:ER30"/>
    <mergeCell ref="AJ28:AJ30"/>
    <mergeCell ref="AR28:AR30"/>
    <mergeCell ref="AZ28:AZ30"/>
    <mergeCell ref="BH28:BH30"/>
    <mergeCell ref="BP28:BP30"/>
    <mergeCell ref="BX28:BX30"/>
    <mergeCell ref="AB28:AB30"/>
    <mergeCell ref="EZ28:EZ30"/>
    <mergeCell ref="FH28:FH30"/>
    <mergeCell ref="FP28:FP30"/>
    <mergeCell ref="CF28:CF30"/>
    <mergeCell ref="CN28:CN30"/>
    <mergeCell ref="CV28:CV30"/>
    <mergeCell ref="DD28:DD30"/>
    <mergeCell ref="DL28:DL30"/>
    <mergeCell ref="DT28:DT30"/>
    <mergeCell ref="A25:A27"/>
    <mergeCell ref="I25:I27"/>
    <mergeCell ref="A28:A30"/>
    <mergeCell ref="I28:I30"/>
    <mergeCell ref="T28:T30"/>
    <mergeCell ref="A16:A18"/>
    <mergeCell ref="I16:I18"/>
    <mergeCell ref="A19:A21"/>
    <mergeCell ref="I19:I21"/>
    <mergeCell ref="A22:A24"/>
    <mergeCell ref="I22:I24"/>
    <mergeCell ref="A7:A9"/>
    <mergeCell ref="I7:I9"/>
    <mergeCell ref="A10:A12"/>
    <mergeCell ref="I10:I12"/>
    <mergeCell ref="A13:A15"/>
    <mergeCell ref="I13:I15"/>
    <mergeCell ref="A1:H1"/>
    <mergeCell ref="I1:P1"/>
    <mergeCell ref="A3:B3"/>
    <mergeCell ref="I3:J3"/>
    <mergeCell ref="A4:A6"/>
    <mergeCell ref="I4:I6"/>
  </mergeCells>
  <phoneticPr fontId="4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BC358-5D98-4BB8-AFDE-DC563599D5C2}">
  <dimension ref="A1:K6"/>
  <sheetViews>
    <sheetView workbookViewId="0"/>
  </sheetViews>
  <sheetFormatPr defaultColWidth="9" defaultRowHeight="16.5"/>
  <cols>
    <col min="1" max="1" width="19.25" style="241" bestFit="1" customWidth="1"/>
    <col min="2" max="2" width="20.125" style="241" bestFit="1" customWidth="1"/>
    <col min="3" max="3" width="15.5" style="241" bestFit="1" customWidth="1"/>
    <col min="4" max="4" width="15.5" style="352" customWidth="1"/>
    <col min="5" max="7" width="15.5" style="241" bestFit="1" customWidth="1"/>
    <col min="8" max="10" width="14.75" style="241" bestFit="1" customWidth="1"/>
    <col min="11" max="16384" width="9" style="241"/>
  </cols>
  <sheetData>
    <row r="1" spans="1:11" ht="17.25" thickBot="1">
      <c r="A1" s="150" t="s">
        <v>416</v>
      </c>
    </row>
    <row r="2" spans="1:11" ht="20.100000000000001" customHeight="1">
      <c r="A2" s="240" t="s">
        <v>306</v>
      </c>
      <c r="B2" s="240" t="s">
        <v>307</v>
      </c>
      <c r="C2" s="242">
        <v>2011</v>
      </c>
      <c r="D2" s="357">
        <v>2012</v>
      </c>
      <c r="E2" s="242">
        <v>2013</v>
      </c>
      <c r="F2" s="242">
        <v>2014</v>
      </c>
      <c r="G2" s="242">
        <v>2015</v>
      </c>
      <c r="H2" s="242">
        <v>2016</v>
      </c>
      <c r="I2" s="242">
        <v>2017</v>
      </c>
      <c r="J2" s="242">
        <v>2018</v>
      </c>
      <c r="K2" s="243" t="s">
        <v>903</v>
      </c>
    </row>
    <row r="3" spans="1:11" ht="20.100000000000001" customHeight="1">
      <c r="A3" s="121" t="s">
        <v>308</v>
      </c>
      <c r="B3" s="124" t="s">
        <v>234</v>
      </c>
      <c r="C3" s="358">
        <f>INDEX('Rail-domestic psgr traffic'!$D$13:$D$51,MATCH('Rail-CAGR'!C2,'Rail-domestic psgr traffic'!$A$13:$A$51,0))*10^3</f>
        <v>1118621000</v>
      </c>
      <c r="D3" s="358">
        <f>INDEX('Rail-domestic psgr traffic'!$D$13:$D$51,MATCH('Rail-CAGR'!D2,'Rail-domestic psgr traffic'!$A$13:$A$51,0))*10^3</f>
        <v>1149340000</v>
      </c>
      <c r="E3" s="358">
        <f>INDEX('Rail-domestic psgr traffic'!$D$13:$D$51,MATCH('Rail-CAGR'!E2,'Rail-domestic psgr traffic'!$A$13:$A$51,0))*10^3</f>
        <v>1224820000</v>
      </c>
      <c r="F3" s="358">
        <f>INDEX('Rail-domestic psgr traffic'!$D$13:$D$51,MATCH('Rail-CAGR'!F2,'Rail-domestic psgr traffic'!$A$13:$A$51,0))*10^3</f>
        <v>1263472000</v>
      </c>
      <c r="G3" s="358">
        <f>INDEX('Rail-domestic psgr traffic'!$D$13:$D$51,MATCH('Rail-CAGR'!G2,'Rail-domestic psgr traffic'!$A$13:$A$51,0))*10^3</f>
        <v>1269417000</v>
      </c>
      <c r="H3" s="358">
        <f>INDEX('Rail-domestic psgr traffic'!$D$13:$D$51,MATCH('Rail-CAGR'!H2,'Rail-domestic psgr traffic'!$A$13:$A$51,0))*10^3</f>
        <v>1449535000</v>
      </c>
      <c r="I3" s="358">
        <f>INDEX('Rail-domestic psgr traffic'!$D$13:$D$51,MATCH('Rail-CAGR'!I2,'Rail-domestic psgr traffic'!$A$13:$A$51,0))*10^3</f>
        <v>1490319000</v>
      </c>
      <c r="J3" s="358">
        <f>INDEX('Rail-domestic psgr traffic'!$D$13:$D$51,MATCH('Rail-CAGR'!J2,'Rail-domestic psgr traffic'!$A$13:$A$51,0))*10^3</f>
        <v>1521590000</v>
      </c>
      <c r="K3" s="244">
        <f>(J3/C3)^(1/7)-1</f>
        <v>4.4931475049839742E-2</v>
      </c>
    </row>
    <row r="4" spans="1:11" ht="20.100000000000001" customHeight="1">
      <c r="A4" s="122" t="s">
        <v>223</v>
      </c>
      <c r="B4" s="124" t="s">
        <v>309</v>
      </c>
      <c r="C4" s="359">
        <f>INDEX('Rail-domestic psgr traffic'!$L$13:$L$51,MATCH('Rail-CAGR'!C2,'Rail-domestic psgr traffic'!$A$13:$A$51,0))*10^6</f>
        <v>36784000000</v>
      </c>
      <c r="D4" s="359">
        <f>INDEX('Rail-domestic psgr traffic'!$L$13:$L$51,MATCH('Rail-CAGR'!D2,'Rail-domestic psgr traffic'!$A$13:$A$51,0))*10^6</f>
        <v>42493000000</v>
      </c>
      <c r="E4" s="359">
        <f>INDEX('Rail-domestic psgr traffic'!$L$13:$L$51,MATCH('Rail-CAGR'!E2,'Rail-domestic psgr traffic'!$A$13:$A$51,0))*10^6</f>
        <v>38531000000</v>
      </c>
      <c r="F4" s="359">
        <f>INDEX('Rail-domestic psgr traffic'!$L$13:$L$51,MATCH('Rail-CAGR'!F2,'Rail-domestic psgr traffic'!$A$13:$A$51,0))*10^6</f>
        <v>39500000000</v>
      </c>
      <c r="G4" s="359">
        <f>INDEX('Rail-domestic psgr traffic'!$L$13:$L$51,MATCH('Rail-CAGR'!G2,'Rail-domestic psgr traffic'!$A$13:$A$51,0))*10^6</f>
        <v>40343000000</v>
      </c>
      <c r="H4" s="359">
        <f>INDEX('Rail-domestic psgr traffic'!$L$13:$L$51,MATCH('Rail-CAGR'!H2,'Rail-domestic psgr traffic'!$A$13:$A$51,0))*10^6</f>
        <v>43384000000</v>
      </c>
      <c r="I4" s="359">
        <f>INDEX('Rail-domestic psgr traffic'!$L$13:$L$51,MATCH('Rail-CAGR'!I2,'Rail-domestic psgr traffic'!$A$13:$A$51,0))*10^6</f>
        <v>46295000000</v>
      </c>
      <c r="J4" s="359">
        <f>INDEX('Rail-domestic psgr traffic'!$L$13:$L$51,MATCH('Rail-CAGR'!J2,'Rail-domestic psgr traffic'!$A$13:$A$51,0))*10^6</f>
        <v>48027000000</v>
      </c>
      <c r="K4" s="245">
        <f>(J4/C4)^(1/7)-1</f>
        <v>3.8835168293443356E-2</v>
      </c>
    </row>
    <row r="5" spans="1:11" ht="20.100000000000001" customHeight="1">
      <c r="A5" s="121" t="s">
        <v>310</v>
      </c>
      <c r="B5" s="124" t="s">
        <v>311</v>
      </c>
      <c r="C5" s="359">
        <v>40011987</v>
      </c>
      <c r="D5" s="358">
        <v>40308928</v>
      </c>
      <c r="E5" s="359">
        <v>39822270</v>
      </c>
      <c r="F5" s="359">
        <v>37379168</v>
      </c>
      <c r="G5" s="359">
        <v>37093642</v>
      </c>
      <c r="H5" s="163">
        <v>32555441</v>
      </c>
      <c r="I5" s="163">
        <v>31669610</v>
      </c>
      <c r="J5" s="163">
        <v>30914733</v>
      </c>
      <c r="K5" s="244">
        <f>(J5/C5)^(1/7)-1</f>
        <v>-3.6178781626822532E-2</v>
      </c>
    </row>
    <row r="6" spans="1:11" ht="17.25" thickBot="1">
      <c r="A6" s="123" t="s">
        <v>223</v>
      </c>
      <c r="B6" s="124" t="s">
        <v>312</v>
      </c>
      <c r="C6" s="359">
        <v>996737509</v>
      </c>
      <c r="D6" s="358">
        <f>10458878979</f>
        <v>10458878979</v>
      </c>
      <c r="E6" s="359">
        <v>10458878979</v>
      </c>
      <c r="F6" s="359">
        <v>9563602650</v>
      </c>
      <c r="G6" s="359">
        <v>9479257421</v>
      </c>
      <c r="H6" s="163">
        <v>8414121799.3000002</v>
      </c>
      <c r="I6" s="163">
        <v>8229194875.5</v>
      </c>
      <c r="J6" s="163">
        <v>7877511771.6429996</v>
      </c>
      <c r="K6" s="246">
        <f>(J6/C6)^(1/7)-1</f>
        <v>0.34356388878242261</v>
      </c>
    </row>
  </sheetData>
  <phoneticPr fontId="4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33</vt:i4>
      </vt:variant>
    </vt:vector>
  </HeadingPairs>
  <TitlesOfParts>
    <vt:vector size="33" baseType="lpstr">
      <vt:lpstr>About</vt:lpstr>
      <vt:lpstr>SYVbT_passenger</vt:lpstr>
      <vt:lpstr>SYVbT_freight</vt:lpstr>
      <vt:lpstr>SYVbT_DV-Regis</vt:lpstr>
      <vt:lpstr>DV-km</vt:lpstr>
      <vt:lpstr>DV-Cal</vt:lpstr>
      <vt:lpstr>SYVbT_Rail</vt:lpstr>
      <vt:lpstr>Rail-domestic psgr traffic</vt:lpstr>
      <vt:lpstr>Rail-CAGR</vt:lpstr>
      <vt:lpstr>Rail-subway</vt:lpstr>
      <vt:lpstr>Rail-Cal</vt:lpstr>
      <vt:lpstr>SYVbT_Aircraft</vt:lpstr>
      <vt:lpstr>Air09</vt:lpstr>
      <vt:lpstr>Air10</vt:lpstr>
      <vt:lpstr>Air11</vt:lpstr>
      <vt:lpstr>Air12</vt:lpstr>
      <vt:lpstr>Air13</vt:lpstr>
      <vt:lpstr>Air14</vt:lpstr>
      <vt:lpstr>Air15</vt:lpstr>
      <vt:lpstr>Air16</vt:lpstr>
      <vt:lpstr>Air17</vt:lpstr>
      <vt:lpstr>Air18</vt:lpstr>
      <vt:lpstr>Air19</vt:lpstr>
      <vt:lpstr>Air20</vt:lpstr>
      <vt:lpstr>Air21</vt:lpstr>
      <vt:lpstr>Air-psgr19</vt:lpstr>
      <vt:lpstr>Air-freight19</vt:lpstr>
      <vt:lpstr>Air-Cal</vt:lpstr>
      <vt:lpstr>Motorbikes</vt:lpstr>
      <vt:lpstr>Ships-Cal</vt:lpstr>
      <vt:lpstr>BAADTbVT-passengers</vt:lpstr>
      <vt:lpstr>BAADTbVT-freight</vt:lpstr>
      <vt:lpstr>AVLo-passenger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GyeHyunPark</cp:lastModifiedBy>
  <dcterms:created xsi:type="dcterms:W3CDTF">2015-03-31T22:53:51Z</dcterms:created>
  <dcterms:modified xsi:type="dcterms:W3CDTF">2021-11-01T02:09:09Z</dcterms:modified>
</cp:coreProperties>
</file>