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southkorea\InputData\fuels\BS\"/>
    </mc:Choice>
  </mc:AlternateContent>
  <xr:revisionPtr revIDLastSave="0" documentId="13_ncr:1_{96A4FC2A-EFF9-4233-BB03-FB1B11C38742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에너지원별 발전량" sheetId="29" r:id="rId2"/>
    <sheet name="발전사별 설비용량" sheetId="30" r:id="rId3"/>
    <sheet name="Subsidies Paid" sheetId="12" r:id="rId4"/>
    <sheet name="LCOE" sheetId="31" r:id="rId5"/>
    <sheet name="Cal-CAPEX" sheetId="26" r:id="rId6"/>
    <sheet name="Sheet1" sheetId="18" state="hidden" r:id="rId7"/>
    <sheet name="BS-BSfTFpEUP" sheetId="10" r:id="rId8"/>
    <sheet name="BS-BSpUEO-PreRet" sheetId="11" r:id="rId9"/>
    <sheet name="BS-BSpUEO-PreNonRet" sheetId="34" r:id="rId10"/>
    <sheet name="BS-BSpUEO-NewBlt" sheetId="33" r:id="rId11"/>
    <sheet name="BS-BSpUECB" sheetId="16" r:id="rId12"/>
    <sheet name="BSpUECB" sheetId="32" r:id="rId13"/>
  </sheets>
  <definedNames>
    <definedName name="dollars_2020_2012" localSheetId="12">About!#REF!</definedName>
    <definedName name="dollars_2020_2012">About!#REF!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6" i="34" l="1"/>
  <c r="AE16" i="34"/>
  <c r="AD16" i="34"/>
  <c r="AC16" i="34"/>
  <c r="AB16" i="34"/>
  <c r="AA16" i="34"/>
  <c r="Z16" i="34"/>
  <c r="Y16" i="34"/>
  <c r="X16" i="34"/>
  <c r="W16" i="34"/>
  <c r="V16" i="34"/>
  <c r="U16" i="34"/>
  <c r="T16" i="34"/>
  <c r="S16" i="34"/>
  <c r="R16" i="34"/>
  <c r="Q16" i="34"/>
  <c r="P16" i="34"/>
  <c r="O16" i="34"/>
  <c r="N16" i="34"/>
  <c r="M16" i="34"/>
  <c r="L16" i="34"/>
  <c r="K16" i="34"/>
  <c r="J16" i="34"/>
  <c r="I16" i="34"/>
  <c r="H16" i="34"/>
  <c r="G16" i="34"/>
  <c r="F16" i="34"/>
  <c r="E16" i="34"/>
  <c r="D16" i="34"/>
  <c r="C16" i="34"/>
  <c r="B16" i="34"/>
  <c r="AF15" i="34"/>
  <c r="AE15" i="34"/>
  <c r="AD15" i="34"/>
  <c r="AC15" i="34"/>
  <c r="AB15" i="34"/>
  <c r="AA15" i="34"/>
  <c r="Z15" i="34"/>
  <c r="Y15" i="34"/>
  <c r="X15" i="34"/>
  <c r="W15" i="34"/>
  <c r="V15" i="34"/>
  <c r="U15" i="34"/>
  <c r="T15" i="34"/>
  <c r="S15" i="34"/>
  <c r="R15" i="34"/>
  <c r="Q15" i="34"/>
  <c r="P15" i="34"/>
  <c r="O15" i="34"/>
  <c r="N15" i="34"/>
  <c r="M15" i="34"/>
  <c r="L15" i="34"/>
  <c r="K15" i="34"/>
  <c r="J15" i="34"/>
  <c r="I15" i="34"/>
  <c r="H15" i="34"/>
  <c r="G15" i="34"/>
  <c r="F15" i="34"/>
  <c r="E15" i="34"/>
  <c r="D15" i="34"/>
  <c r="C15" i="34"/>
  <c r="B15" i="34"/>
  <c r="B2" i="34"/>
  <c r="C2" i="34" s="1"/>
  <c r="D2" i="34" s="1"/>
  <c r="E2" i="34" s="1"/>
  <c r="F2" i="34" s="1"/>
  <c r="G2" i="34" s="1"/>
  <c r="H2" i="34" s="1"/>
  <c r="I2" i="34" s="1"/>
  <c r="J2" i="34" s="1"/>
  <c r="K2" i="34" s="1"/>
  <c r="L2" i="34" s="1"/>
  <c r="M2" i="34" s="1"/>
  <c r="N2" i="34" s="1"/>
  <c r="O2" i="34" s="1"/>
  <c r="P2" i="34" s="1"/>
  <c r="Q2" i="34" s="1"/>
  <c r="R2" i="34" s="1"/>
  <c r="S2" i="34" s="1"/>
  <c r="T2" i="34" s="1"/>
  <c r="U2" i="34" s="1"/>
  <c r="V2" i="34" s="1"/>
  <c r="W2" i="34" s="1"/>
  <c r="X2" i="34" s="1"/>
  <c r="Y2" i="34" s="1"/>
  <c r="Z2" i="34" s="1"/>
  <c r="AA2" i="34" s="1"/>
  <c r="AB2" i="34" s="1"/>
  <c r="AC2" i="34" s="1"/>
  <c r="AD2" i="34" s="1"/>
  <c r="AE2" i="34" s="1"/>
  <c r="AF2" i="34" s="1"/>
  <c r="AF16" i="33"/>
  <c r="AE16" i="33"/>
  <c r="AD16" i="33"/>
  <c r="AC16" i="33"/>
  <c r="AB16" i="33"/>
  <c r="AA16" i="33"/>
  <c r="Z16" i="33"/>
  <c r="Y16" i="33"/>
  <c r="X16" i="33"/>
  <c r="W16" i="33"/>
  <c r="V16" i="33"/>
  <c r="U16" i="33"/>
  <c r="T16" i="33"/>
  <c r="S16" i="33"/>
  <c r="R16" i="33"/>
  <c r="Q16" i="33"/>
  <c r="P16" i="33"/>
  <c r="O16" i="33"/>
  <c r="N16" i="33"/>
  <c r="M16" i="33"/>
  <c r="L16" i="33"/>
  <c r="K16" i="33"/>
  <c r="J16" i="33"/>
  <c r="I16" i="33"/>
  <c r="H16" i="33"/>
  <c r="G16" i="33"/>
  <c r="F16" i="33"/>
  <c r="E16" i="33"/>
  <c r="D16" i="33"/>
  <c r="C16" i="33"/>
  <c r="B16" i="33"/>
  <c r="AF15" i="33"/>
  <c r="AE15" i="33"/>
  <c r="AD15" i="33"/>
  <c r="AC15" i="33"/>
  <c r="AB15" i="33"/>
  <c r="AA15" i="33"/>
  <c r="Z15" i="33"/>
  <c r="Y15" i="33"/>
  <c r="X15" i="33"/>
  <c r="W15" i="33"/>
  <c r="V15" i="33"/>
  <c r="U15" i="33"/>
  <c r="T15" i="33"/>
  <c r="S15" i="33"/>
  <c r="R15" i="33"/>
  <c r="Q15" i="33"/>
  <c r="P15" i="33"/>
  <c r="O15" i="33"/>
  <c r="N15" i="33"/>
  <c r="M15" i="33"/>
  <c r="L15" i="33"/>
  <c r="K15" i="33"/>
  <c r="J15" i="33"/>
  <c r="I15" i="33"/>
  <c r="H15" i="33"/>
  <c r="G15" i="33"/>
  <c r="F15" i="33"/>
  <c r="E15" i="33"/>
  <c r="D15" i="33"/>
  <c r="C15" i="33"/>
  <c r="B15" i="33"/>
  <c r="B13" i="33"/>
  <c r="C13" i="33" s="1"/>
  <c r="D13" i="33" s="1"/>
  <c r="E13" i="33" s="1"/>
  <c r="F13" i="33" s="1"/>
  <c r="G13" i="33" s="1"/>
  <c r="H13" i="33" s="1"/>
  <c r="I13" i="33" s="1"/>
  <c r="J13" i="33" s="1"/>
  <c r="K13" i="33" s="1"/>
  <c r="L13" i="33" s="1"/>
  <c r="M13" i="33" s="1"/>
  <c r="N13" i="33" s="1"/>
  <c r="O13" i="33" s="1"/>
  <c r="P13" i="33" s="1"/>
  <c r="Q13" i="33" s="1"/>
  <c r="R13" i="33" s="1"/>
  <c r="S13" i="33" s="1"/>
  <c r="T13" i="33" s="1"/>
  <c r="U13" i="33" s="1"/>
  <c r="V13" i="33" s="1"/>
  <c r="W13" i="33" s="1"/>
  <c r="X13" i="33" s="1"/>
  <c r="Y13" i="33" s="1"/>
  <c r="Z13" i="33" s="1"/>
  <c r="AA13" i="33" s="1"/>
  <c r="AB13" i="33" s="1"/>
  <c r="AC13" i="33" s="1"/>
  <c r="AD13" i="33" s="1"/>
  <c r="AE13" i="33" s="1"/>
  <c r="AF13" i="33" s="1"/>
  <c r="B2" i="33"/>
  <c r="C2" i="33" s="1"/>
  <c r="D2" i="33" s="1"/>
  <c r="E2" i="33" s="1"/>
  <c r="F2" i="33" s="1"/>
  <c r="G2" i="33" s="1"/>
  <c r="H2" i="33" s="1"/>
  <c r="I2" i="33" s="1"/>
  <c r="J2" i="33" s="1"/>
  <c r="K2" i="33" s="1"/>
  <c r="L2" i="33" s="1"/>
  <c r="M2" i="33" s="1"/>
  <c r="N2" i="33" s="1"/>
  <c r="O2" i="33" s="1"/>
  <c r="P2" i="33" s="1"/>
  <c r="Q2" i="33" s="1"/>
  <c r="R2" i="33" s="1"/>
  <c r="S2" i="33" s="1"/>
  <c r="T2" i="33" s="1"/>
  <c r="U2" i="33" s="1"/>
  <c r="V2" i="33" s="1"/>
  <c r="W2" i="33" s="1"/>
  <c r="X2" i="33" s="1"/>
  <c r="Y2" i="33" s="1"/>
  <c r="Z2" i="33" s="1"/>
  <c r="AA2" i="33" s="1"/>
  <c r="AB2" i="33" s="1"/>
  <c r="AC2" i="33" s="1"/>
  <c r="AD2" i="33" s="1"/>
  <c r="AE2" i="33" s="1"/>
  <c r="AF2" i="33" s="1"/>
  <c r="B13" i="34" l="1"/>
  <c r="C13" i="34" s="1"/>
  <c r="D13" i="34" s="1"/>
  <c r="E13" i="34" s="1"/>
  <c r="F13" i="34" s="1"/>
  <c r="G13" i="34" s="1"/>
  <c r="H13" i="34" s="1"/>
  <c r="I13" i="34" s="1"/>
  <c r="J13" i="34" s="1"/>
  <c r="K13" i="34" s="1"/>
  <c r="L13" i="34" s="1"/>
  <c r="M13" i="34" s="1"/>
  <c r="N13" i="34" s="1"/>
  <c r="O13" i="34" s="1"/>
  <c r="P13" i="34" s="1"/>
  <c r="Q13" i="34" s="1"/>
  <c r="R13" i="34" s="1"/>
  <c r="S13" i="34" s="1"/>
  <c r="T13" i="34" s="1"/>
  <c r="U13" i="34" s="1"/>
  <c r="V13" i="34" s="1"/>
  <c r="W13" i="34" s="1"/>
  <c r="X13" i="34" s="1"/>
  <c r="Y13" i="34" s="1"/>
  <c r="Z13" i="34" s="1"/>
  <c r="AA13" i="34" s="1"/>
  <c r="AB13" i="34" s="1"/>
  <c r="AC13" i="34" s="1"/>
  <c r="AD13" i="34" s="1"/>
  <c r="AE13" i="34" s="1"/>
  <c r="AF13" i="34" s="1"/>
  <c r="K25" i="26" l="1"/>
  <c r="AF16" i="32"/>
  <c r="AE16" i="32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Q16" i="32"/>
  <c r="P16" i="32"/>
  <c r="O16" i="32"/>
  <c r="N16" i="32"/>
  <c r="M16" i="32"/>
  <c r="L16" i="32"/>
  <c r="K16" i="32"/>
  <c r="J16" i="32"/>
  <c r="I16" i="32"/>
  <c r="H16" i="32"/>
  <c r="G16" i="32"/>
  <c r="F16" i="32"/>
  <c r="E16" i="32"/>
  <c r="D16" i="32"/>
  <c r="C16" i="32"/>
  <c r="B16" i="32"/>
  <c r="AF15" i="32"/>
  <c r="AE15" i="32"/>
  <c r="AD15" i="32"/>
  <c r="AC15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K15" i="32"/>
  <c r="J15" i="32"/>
  <c r="I15" i="32"/>
  <c r="H15" i="32"/>
  <c r="G15" i="32"/>
  <c r="F15" i="32"/>
  <c r="E15" i="32"/>
  <c r="D15" i="32"/>
  <c r="C15" i="32"/>
  <c r="B15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D5" i="31" l="1"/>
  <c r="D4" i="31"/>
  <c r="D3" i="31"/>
  <c r="B26" i="31"/>
  <c r="B25" i="31"/>
  <c r="D23" i="26" l="1"/>
  <c r="E23" i="26"/>
  <c r="F23" i="26"/>
  <c r="G23" i="26"/>
  <c r="H23" i="26"/>
  <c r="I23" i="26"/>
  <c r="J23" i="26"/>
  <c r="K23" i="26"/>
  <c r="L23" i="26"/>
  <c r="D24" i="26"/>
  <c r="E24" i="26"/>
  <c r="F24" i="26"/>
  <c r="G24" i="26"/>
  <c r="H24" i="26"/>
  <c r="I24" i="26"/>
  <c r="J24" i="26"/>
  <c r="K24" i="26"/>
  <c r="L24" i="26"/>
  <c r="D25" i="26"/>
  <c r="E25" i="26"/>
  <c r="F25" i="26"/>
  <c r="G25" i="26"/>
  <c r="H25" i="26"/>
  <c r="I25" i="26"/>
  <c r="J25" i="26"/>
  <c r="C24" i="26"/>
  <c r="C25" i="26"/>
  <c r="C23" i="26"/>
  <c r="K18" i="26"/>
  <c r="W17" i="26"/>
  <c r="W24" i="26" s="1"/>
  <c r="L6" i="32" s="1"/>
  <c r="W16" i="26"/>
  <c r="W23" i="26" s="1"/>
  <c r="L7" i="32" s="1"/>
  <c r="R17" i="26"/>
  <c r="R16" i="26"/>
  <c r="R23" i="26" s="1"/>
  <c r="G7" i="32" s="1"/>
  <c r="M17" i="26"/>
  <c r="M24" i="26" s="1"/>
  <c r="B6" i="32" s="1"/>
  <c r="M16" i="26"/>
  <c r="M23" i="26" s="1"/>
  <c r="B7" i="32" s="1"/>
  <c r="E30" i="26" l="1"/>
  <c r="R24" i="26"/>
  <c r="G6" i="32" s="1"/>
  <c r="E29" i="26"/>
  <c r="S16" i="26" s="1"/>
  <c r="S17" i="26"/>
  <c r="D29" i="26"/>
  <c r="N16" i="26" s="1"/>
  <c r="D30" i="26"/>
  <c r="N17" i="26" s="1"/>
  <c r="F3" i="12"/>
  <c r="G3" i="12" s="1"/>
  <c r="E3" i="12"/>
  <c r="T16" i="26" l="1"/>
  <c r="S23" i="26"/>
  <c r="H7" i="32" s="1"/>
  <c r="O16" i="26"/>
  <c r="N23" i="26"/>
  <c r="C7" i="32" s="1"/>
  <c r="T17" i="26"/>
  <c r="S24" i="26"/>
  <c r="H6" i="32" s="1"/>
  <c r="O17" i="26"/>
  <c r="N24" i="26"/>
  <c r="C6" i="32" s="1"/>
  <c r="E13" i="12"/>
  <c r="E12" i="12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P17" i="26" l="1"/>
  <c r="O24" i="26"/>
  <c r="D6" i="32" s="1"/>
  <c r="U17" i="26"/>
  <c r="T24" i="26"/>
  <c r="I6" i="32" s="1"/>
  <c r="U16" i="26"/>
  <c r="T23" i="26"/>
  <c r="I7" i="32" s="1"/>
  <c r="P16" i="26"/>
  <c r="O23" i="26"/>
  <c r="D7" i="32" s="1"/>
  <c r="G13" i="12"/>
  <c r="I18" i="12" s="1"/>
  <c r="I17" i="12" s="1"/>
  <c r="G12" i="12"/>
  <c r="N6" i="26"/>
  <c r="C5" i="32" s="1"/>
  <c r="O6" i="26"/>
  <c r="D5" i="32" s="1"/>
  <c r="P6" i="26"/>
  <c r="E5" i="32" s="1"/>
  <c r="Q6" i="26"/>
  <c r="F5" i="32" s="1"/>
  <c r="R6" i="26"/>
  <c r="G5" i="32" s="1"/>
  <c r="S6" i="26"/>
  <c r="H5" i="32" s="1"/>
  <c r="T6" i="26"/>
  <c r="I5" i="32" s="1"/>
  <c r="U6" i="26"/>
  <c r="J5" i="32" s="1"/>
  <c r="V6" i="26"/>
  <c r="K5" i="32" s="1"/>
  <c r="W6" i="26"/>
  <c r="L5" i="32" s="1"/>
  <c r="X6" i="26"/>
  <c r="M5" i="32" s="1"/>
  <c r="Y6" i="26"/>
  <c r="N5" i="32" s="1"/>
  <c r="Z6" i="26"/>
  <c r="O5" i="32" s="1"/>
  <c r="AA6" i="26"/>
  <c r="P5" i="32" s="1"/>
  <c r="AB6" i="26"/>
  <c r="Q5" i="32" s="1"/>
  <c r="AC6" i="26"/>
  <c r="R5" i="32" s="1"/>
  <c r="AD6" i="26"/>
  <c r="S5" i="32" s="1"/>
  <c r="AE6" i="26"/>
  <c r="T5" i="32" s="1"/>
  <c r="AF6" i="26"/>
  <c r="U5" i="32" s="1"/>
  <c r="AG6" i="26"/>
  <c r="V5" i="32" s="1"/>
  <c r="AH6" i="26"/>
  <c r="W5" i="32" s="1"/>
  <c r="AI6" i="26"/>
  <c r="X5" i="32" s="1"/>
  <c r="AJ6" i="26"/>
  <c r="Y5" i="32" s="1"/>
  <c r="AK6" i="26"/>
  <c r="Z5" i="32" s="1"/>
  <c r="AL6" i="26"/>
  <c r="AA5" i="32" s="1"/>
  <c r="AM6" i="26"/>
  <c r="AB5" i="32" s="1"/>
  <c r="AN6" i="26"/>
  <c r="AC5" i="32" s="1"/>
  <c r="AO6" i="26"/>
  <c r="AD5" i="32" s="1"/>
  <c r="AP6" i="26"/>
  <c r="AE5" i="32" s="1"/>
  <c r="AQ6" i="26"/>
  <c r="AF5" i="32" s="1"/>
  <c r="N7" i="26"/>
  <c r="C9" i="32" s="1"/>
  <c r="O7" i="26"/>
  <c r="D9" i="32" s="1"/>
  <c r="P7" i="26"/>
  <c r="E9" i="32" s="1"/>
  <c r="Q7" i="26"/>
  <c r="F9" i="32" s="1"/>
  <c r="R7" i="26"/>
  <c r="G9" i="32" s="1"/>
  <c r="S7" i="26"/>
  <c r="H9" i="32" s="1"/>
  <c r="T7" i="26"/>
  <c r="I9" i="32" s="1"/>
  <c r="U7" i="26"/>
  <c r="J9" i="32" s="1"/>
  <c r="V7" i="26"/>
  <c r="K9" i="32" s="1"/>
  <c r="W7" i="26"/>
  <c r="L9" i="32" s="1"/>
  <c r="X7" i="26"/>
  <c r="M9" i="32" s="1"/>
  <c r="Y7" i="26"/>
  <c r="N9" i="32" s="1"/>
  <c r="Z7" i="26"/>
  <c r="O9" i="32" s="1"/>
  <c r="AA7" i="26"/>
  <c r="P9" i="32" s="1"/>
  <c r="AB7" i="26"/>
  <c r="Q9" i="32" s="1"/>
  <c r="AC7" i="26"/>
  <c r="R9" i="32" s="1"/>
  <c r="AD7" i="26"/>
  <c r="S9" i="32" s="1"/>
  <c r="AE7" i="26"/>
  <c r="T9" i="32" s="1"/>
  <c r="AF7" i="26"/>
  <c r="U9" i="32" s="1"/>
  <c r="AG7" i="26"/>
  <c r="V9" i="32" s="1"/>
  <c r="AH7" i="26"/>
  <c r="W9" i="32" s="1"/>
  <c r="AI7" i="26"/>
  <c r="X9" i="32" s="1"/>
  <c r="AJ7" i="26"/>
  <c r="Y9" i="32" s="1"/>
  <c r="AK7" i="26"/>
  <c r="Z9" i="32" s="1"/>
  <c r="AL7" i="26"/>
  <c r="AA9" i="32" s="1"/>
  <c r="AM7" i="26"/>
  <c r="AB9" i="32" s="1"/>
  <c r="AN7" i="26"/>
  <c r="AC9" i="32" s="1"/>
  <c r="AO7" i="26"/>
  <c r="AD9" i="32" s="1"/>
  <c r="AP7" i="26"/>
  <c r="AE9" i="32" s="1"/>
  <c r="AQ7" i="26"/>
  <c r="AF9" i="32" s="1"/>
  <c r="M7" i="26"/>
  <c r="B9" i="32" s="1"/>
  <c r="M6" i="26"/>
  <c r="B5" i="32" s="1"/>
  <c r="D50" i="26"/>
  <c r="M4" i="26" s="1"/>
  <c r="D51" i="26"/>
  <c r="M5" i="26" s="1"/>
  <c r="D49" i="26"/>
  <c r="M3" i="26" s="1"/>
  <c r="B8" i="16"/>
  <c r="B9" i="16" l="1"/>
  <c r="O5" i="16"/>
  <c r="Q9" i="16"/>
  <c r="G5" i="16"/>
  <c r="I9" i="16"/>
  <c r="N5" i="16"/>
  <c r="E5" i="16"/>
  <c r="V9" i="16"/>
  <c r="T5" i="16"/>
  <c r="B5" i="16"/>
  <c r="R9" i="16"/>
  <c r="J9" i="16"/>
  <c r="P5" i="16"/>
  <c r="H5" i="16"/>
  <c r="W5" i="16"/>
  <c r="X5" i="16" s="1"/>
  <c r="Y5" i="16" s="1"/>
  <c r="Z5" i="16" s="1"/>
  <c r="AA5" i="16" s="1"/>
  <c r="AB5" i="16" s="1"/>
  <c r="AC5" i="16" s="1"/>
  <c r="AD5" i="16" s="1"/>
  <c r="AE5" i="16" s="1"/>
  <c r="AF5" i="16" s="1"/>
  <c r="H9" i="16"/>
  <c r="F5" i="16"/>
  <c r="O9" i="16"/>
  <c r="N9" i="16"/>
  <c r="U9" i="16"/>
  <c r="M9" i="16"/>
  <c r="E9" i="16"/>
  <c r="S5" i="16"/>
  <c r="K5" i="16"/>
  <c r="C5" i="16"/>
  <c r="V17" i="26"/>
  <c r="V24" i="26" s="1"/>
  <c r="K6" i="32" s="1"/>
  <c r="U24" i="26"/>
  <c r="J6" i="32" s="1"/>
  <c r="P9" i="16"/>
  <c r="W9" i="16"/>
  <c r="X9" i="16" s="1"/>
  <c r="Y9" i="16" s="1"/>
  <c r="Z9" i="16" s="1"/>
  <c r="AA9" i="16" s="1"/>
  <c r="AB9" i="16" s="1"/>
  <c r="AC9" i="16" s="1"/>
  <c r="AD9" i="16" s="1"/>
  <c r="AE9" i="16" s="1"/>
  <c r="AF9" i="16" s="1"/>
  <c r="U5" i="16"/>
  <c r="F9" i="16"/>
  <c r="L5" i="16"/>
  <c r="Q16" i="26"/>
  <c r="Q23" i="26" s="1"/>
  <c r="F7" i="32" s="1"/>
  <c r="P23" i="26"/>
  <c r="E7" i="32" s="1"/>
  <c r="T9" i="16"/>
  <c r="L9" i="16"/>
  <c r="D9" i="16"/>
  <c r="R5" i="16"/>
  <c r="J5" i="16"/>
  <c r="V5" i="16"/>
  <c r="G9" i="16"/>
  <c r="M5" i="16"/>
  <c r="D5" i="16"/>
  <c r="S9" i="16"/>
  <c r="K9" i="16"/>
  <c r="C9" i="16"/>
  <c r="Q5" i="16"/>
  <c r="I5" i="16"/>
  <c r="V16" i="26"/>
  <c r="V23" i="26" s="1"/>
  <c r="K7" i="32" s="1"/>
  <c r="U23" i="26"/>
  <c r="J7" i="32" s="1"/>
  <c r="Q17" i="26"/>
  <c r="Q24" i="26" s="1"/>
  <c r="F6" i="32" s="1"/>
  <c r="P24" i="26"/>
  <c r="E6" i="32" s="1"/>
  <c r="J18" i="12"/>
  <c r="J17" i="12" s="1"/>
  <c r="F18" i="12"/>
  <c r="F17" i="12" s="1"/>
  <c r="G18" i="12"/>
  <c r="G17" i="12" s="1"/>
  <c r="M18" i="12"/>
  <c r="M17" i="12" s="1"/>
  <c r="L18" i="12"/>
  <c r="L17" i="12" s="1"/>
  <c r="K18" i="12"/>
  <c r="K17" i="12" s="1"/>
  <c r="H18" i="12"/>
  <c r="H17" i="12" s="1"/>
  <c r="N18" i="12"/>
  <c r="N17" i="12" s="1"/>
  <c r="B2" i="11" s="1"/>
  <c r="B13" i="11" s="1"/>
  <c r="C13" i="11" s="1"/>
  <c r="D13" i="11" s="1"/>
  <c r="E13" i="11" s="1"/>
  <c r="F13" i="11" s="1"/>
  <c r="G13" i="11" s="1"/>
  <c r="H13" i="11" s="1"/>
  <c r="I13" i="11" s="1"/>
  <c r="J13" i="11" s="1"/>
  <c r="K13" i="11" s="1"/>
  <c r="L13" i="11" s="1"/>
  <c r="M13" i="11" s="1"/>
  <c r="N13" i="11" s="1"/>
  <c r="O13" i="11" s="1"/>
  <c r="P13" i="11" s="1"/>
  <c r="Q13" i="11" s="1"/>
  <c r="R13" i="11" s="1"/>
  <c r="S13" i="11" s="1"/>
  <c r="T13" i="11" s="1"/>
  <c r="U13" i="11" s="1"/>
  <c r="V13" i="11" s="1"/>
  <c r="W13" i="11" s="1"/>
  <c r="X13" i="11" s="1"/>
  <c r="Y13" i="11" s="1"/>
  <c r="Z13" i="11" s="1"/>
  <c r="AA13" i="11" s="1"/>
  <c r="AB13" i="11" s="1"/>
  <c r="AC13" i="11" s="1"/>
  <c r="AD13" i="11" s="1"/>
  <c r="AE13" i="11" s="1"/>
  <c r="AF13" i="11" s="1"/>
  <c r="E18" i="12"/>
  <c r="E17" i="12" s="1"/>
  <c r="N5" i="26"/>
  <c r="N3" i="26"/>
  <c r="N4" i="26"/>
  <c r="AQ5" i="26"/>
  <c r="C13" i="26" s="1"/>
  <c r="L18" i="26" s="1"/>
  <c r="AQ4" i="26"/>
  <c r="W5" i="26"/>
  <c r="W4" i="26"/>
  <c r="M18" i="26" l="1"/>
  <c r="L25" i="26"/>
  <c r="B7" i="16"/>
  <c r="C6" i="16"/>
  <c r="B6" i="16"/>
  <c r="C7" i="16"/>
  <c r="C2" i="11"/>
  <c r="D2" i="11" s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AC2" i="11" s="1"/>
  <c r="AD2" i="11" s="1"/>
  <c r="AE2" i="11" s="1"/>
  <c r="AF2" i="11" s="1"/>
  <c r="C12" i="26"/>
  <c r="X17" i="26" s="1"/>
  <c r="O4" i="26"/>
  <c r="O3" i="26"/>
  <c r="O5" i="26"/>
  <c r="F51" i="26"/>
  <c r="X5" i="26" s="1"/>
  <c r="E51" i="26"/>
  <c r="S5" i="26" s="1"/>
  <c r="E50" i="26"/>
  <c r="S4" i="26" s="1"/>
  <c r="F50" i="26"/>
  <c r="X4" i="26" s="1"/>
  <c r="AQ3" i="26"/>
  <c r="W3" i="26"/>
  <c r="Y17" i="26" l="1"/>
  <c r="X24" i="26"/>
  <c r="M6" i="32" s="1"/>
  <c r="N18" i="26"/>
  <c r="M25" i="26"/>
  <c r="B14" i="32" s="1"/>
  <c r="C11" i="26"/>
  <c r="X16" i="26" s="1"/>
  <c r="P4" i="26"/>
  <c r="P5" i="26"/>
  <c r="P3" i="26"/>
  <c r="Y4" i="26"/>
  <c r="T4" i="26"/>
  <c r="T5" i="26"/>
  <c r="Y5" i="26"/>
  <c r="E49" i="26"/>
  <c r="S3" i="26" s="1"/>
  <c r="F49" i="26"/>
  <c r="X3" i="26" s="1"/>
  <c r="Y16" i="26" l="1"/>
  <c r="X23" i="26"/>
  <c r="M7" i="32" s="1"/>
  <c r="O18" i="26"/>
  <c r="N25" i="26"/>
  <c r="C14" i="32" s="1"/>
  <c r="D6" i="16"/>
  <c r="Z17" i="26"/>
  <c r="Y24" i="26"/>
  <c r="N6" i="32" s="1"/>
  <c r="E6" i="16" s="1"/>
  <c r="Q4" i="26"/>
  <c r="Q3" i="26"/>
  <c r="Q5" i="26"/>
  <c r="T3" i="26"/>
  <c r="Y3" i="26"/>
  <c r="U4" i="26"/>
  <c r="Z4" i="26"/>
  <c r="Z5" i="26"/>
  <c r="U5" i="2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B15" i="16"/>
  <c r="B16" i="16"/>
  <c r="P18" i="26" l="1"/>
  <c r="O25" i="26"/>
  <c r="D14" i="32" s="1"/>
  <c r="D7" i="16"/>
  <c r="Z16" i="26"/>
  <c r="Y23" i="26"/>
  <c r="N7" i="32" s="1"/>
  <c r="AA17" i="26"/>
  <c r="Z24" i="26"/>
  <c r="O6" i="32" s="1"/>
  <c r="Z3" i="26"/>
  <c r="U3" i="26"/>
  <c r="AA4" i="26"/>
  <c r="V4" i="26"/>
  <c r="V5" i="26"/>
  <c r="AA5" i="26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B15" i="11"/>
  <c r="B16" i="11"/>
  <c r="E7" i="16" l="1"/>
  <c r="F6" i="16"/>
  <c r="Q18" i="26"/>
  <c r="P25" i="26"/>
  <c r="E14" i="32" s="1"/>
  <c r="AA16" i="26"/>
  <c r="Z23" i="26"/>
  <c r="O7" i="32" s="1"/>
  <c r="AB17" i="26"/>
  <c r="AA24" i="26"/>
  <c r="P6" i="32" s="1"/>
  <c r="V3" i="26"/>
  <c r="AA3" i="26"/>
  <c r="AB4" i="26"/>
  <c r="AB5" i="26"/>
  <c r="F7" i="16" l="1"/>
  <c r="R18" i="26"/>
  <c r="Q25" i="26"/>
  <c r="F14" i="32" s="1"/>
  <c r="AB16" i="26"/>
  <c r="AA23" i="26"/>
  <c r="P7" i="32" s="1"/>
  <c r="G6" i="16"/>
  <c r="AC17" i="26"/>
  <c r="AB24" i="26"/>
  <c r="Q6" i="32" s="1"/>
  <c r="AB3" i="26"/>
  <c r="AC4" i="26"/>
  <c r="AC5" i="26"/>
  <c r="S18" i="26" l="1"/>
  <c r="R25" i="26"/>
  <c r="G14" i="32" s="1"/>
  <c r="AD17" i="26"/>
  <c r="AC24" i="26"/>
  <c r="R6" i="32" s="1"/>
  <c r="H6" i="16"/>
  <c r="AC16" i="26"/>
  <c r="AB23" i="26"/>
  <c r="Q7" i="32" s="1"/>
  <c r="G7" i="16"/>
  <c r="AC3" i="26"/>
  <c r="AD4" i="26"/>
  <c r="AD5" i="26"/>
  <c r="H7" i="16" l="1"/>
  <c r="AE17" i="26"/>
  <c r="AD24" i="26"/>
  <c r="S6" i="32" s="1"/>
  <c r="T18" i="26"/>
  <c r="S25" i="26"/>
  <c r="H14" i="32" s="1"/>
  <c r="I6" i="16"/>
  <c r="AD16" i="26"/>
  <c r="AC23" i="26"/>
  <c r="R7" i="32" s="1"/>
  <c r="AD3" i="26"/>
  <c r="AE4" i="26"/>
  <c r="AE5" i="26"/>
  <c r="AE16" i="26" l="1"/>
  <c r="AD23" i="26"/>
  <c r="S7" i="32" s="1"/>
  <c r="J6" i="16"/>
  <c r="AF17" i="26"/>
  <c r="AE24" i="26"/>
  <c r="T6" i="32" s="1"/>
  <c r="I7" i="16"/>
  <c r="U18" i="26"/>
  <c r="T25" i="26"/>
  <c r="I14" i="32" s="1"/>
  <c r="AE3" i="26"/>
  <c r="AF4" i="26"/>
  <c r="AF5" i="26"/>
  <c r="K6" i="16" l="1"/>
  <c r="J7" i="16"/>
  <c r="AF16" i="26"/>
  <c r="AE23" i="26"/>
  <c r="T7" i="32" s="1"/>
  <c r="AG17" i="26"/>
  <c r="AF24" i="26"/>
  <c r="U6" i="32" s="1"/>
  <c r="V18" i="26"/>
  <c r="U25" i="26"/>
  <c r="J14" i="32" s="1"/>
  <c r="AF3" i="26"/>
  <c r="AG4" i="26"/>
  <c r="AG5" i="26"/>
  <c r="L6" i="16" l="1"/>
  <c r="K7" i="16"/>
  <c r="W18" i="26"/>
  <c r="V25" i="26"/>
  <c r="K14" i="32" s="1"/>
  <c r="AG16" i="26"/>
  <c r="AF23" i="26"/>
  <c r="U7" i="32" s="1"/>
  <c r="AH17" i="26"/>
  <c r="AG24" i="26"/>
  <c r="V6" i="32" s="1"/>
  <c r="AG3" i="26"/>
  <c r="AH4" i="26"/>
  <c r="AH5" i="26"/>
  <c r="L7" i="16" l="1"/>
  <c r="B14" i="16"/>
  <c r="AI17" i="26"/>
  <c r="AH24" i="26"/>
  <c r="W6" i="32" s="1"/>
  <c r="AH16" i="26"/>
  <c r="AG23" i="26"/>
  <c r="V7" i="32" s="1"/>
  <c r="M6" i="16"/>
  <c r="X18" i="26"/>
  <c r="W25" i="26"/>
  <c r="L14" i="32" s="1"/>
  <c r="AH3" i="26"/>
  <c r="AI4" i="26"/>
  <c r="AI5" i="26"/>
  <c r="M7" i="16" l="1"/>
  <c r="AI16" i="26"/>
  <c r="AH23" i="26"/>
  <c r="W7" i="32" s="1"/>
  <c r="N6" i="16"/>
  <c r="C14" i="16"/>
  <c r="Y18" i="26"/>
  <c r="X25" i="26"/>
  <c r="M14" i="32" s="1"/>
  <c r="AJ17" i="26"/>
  <c r="AI24" i="26"/>
  <c r="X6" i="32" s="1"/>
  <c r="AI3" i="26"/>
  <c r="AJ4" i="26"/>
  <c r="AJ5" i="26"/>
  <c r="N7" i="16" l="1"/>
  <c r="AJ16" i="26"/>
  <c r="AI23" i="26"/>
  <c r="X7" i="32" s="1"/>
  <c r="O7" i="16" s="1"/>
  <c r="O6" i="16"/>
  <c r="AK17" i="26"/>
  <c r="AJ24" i="26"/>
  <c r="Y6" i="32" s="1"/>
  <c r="P6" i="16" s="1"/>
  <c r="D14" i="16"/>
  <c r="Z18" i="26"/>
  <c r="Y25" i="26"/>
  <c r="N14" i="32" s="1"/>
  <c r="AJ3" i="26"/>
  <c r="AK4" i="26"/>
  <c r="AK5" i="26"/>
  <c r="AA18" i="26" l="1"/>
  <c r="Z25" i="26"/>
  <c r="O14" i="32" s="1"/>
  <c r="AL17" i="26"/>
  <c r="AK24" i="26"/>
  <c r="Z6" i="32" s="1"/>
  <c r="AK16" i="26"/>
  <c r="AJ23" i="26"/>
  <c r="Y7" i="32" s="1"/>
  <c r="P7" i="16" s="1"/>
  <c r="E14" i="16"/>
  <c r="AK3" i="26"/>
  <c r="AL4" i="26"/>
  <c r="AL5" i="26"/>
  <c r="Q6" i="16" l="1"/>
  <c r="AM17" i="26"/>
  <c r="AL24" i="26"/>
  <c r="AA6" i="32" s="1"/>
  <c r="R6" i="16" s="1"/>
  <c r="F14" i="16"/>
  <c r="AL16" i="26"/>
  <c r="AK23" i="26"/>
  <c r="Z7" i="32" s="1"/>
  <c r="AB18" i="26"/>
  <c r="AA25" i="26"/>
  <c r="P14" i="32" s="1"/>
  <c r="AL3" i="26"/>
  <c r="AM4" i="26"/>
  <c r="AM5" i="26"/>
  <c r="Q7" i="16" l="1"/>
  <c r="AC18" i="26"/>
  <c r="AB25" i="26"/>
  <c r="Q14" i="32" s="1"/>
  <c r="AN17" i="26"/>
  <c r="AM24" i="26"/>
  <c r="AB6" i="32" s="1"/>
  <c r="S6" i="16" s="1"/>
  <c r="G14" i="16"/>
  <c r="AM16" i="26"/>
  <c r="AL23" i="26"/>
  <c r="AA7" i="32" s="1"/>
  <c r="R7" i="16" s="1"/>
  <c r="AM3" i="26"/>
  <c r="AN4" i="26"/>
  <c r="AN5" i="26"/>
  <c r="H14" i="16" l="1"/>
  <c r="AN16" i="26"/>
  <c r="AM23" i="26"/>
  <c r="AB7" i="32" s="1"/>
  <c r="AO17" i="26"/>
  <c r="AN24" i="26"/>
  <c r="AC6" i="32" s="1"/>
  <c r="T6" i="16" s="1"/>
  <c r="AD18" i="26"/>
  <c r="AC25" i="26"/>
  <c r="R14" i="32" s="1"/>
  <c r="AN3" i="26"/>
  <c r="AO4" i="26"/>
  <c r="AO5" i="26"/>
  <c r="I14" i="16" l="1"/>
  <c r="AE18" i="26"/>
  <c r="AD25" i="26"/>
  <c r="S14" i="32" s="1"/>
  <c r="AO16" i="26"/>
  <c r="AN23" i="26"/>
  <c r="AC7" i="32" s="1"/>
  <c r="T7" i="16" s="1"/>
  <c r="S7" i="16"/>
  <c r="AP17" i="26"/>
  <c r="AO24" i="26"/>
  <c r="AD6" i="32" s="1"/>
  <c r="AO3" i="26"/>
  <c r="AP4" i="26"/>
  <c r="AP5" i="26"/>
  <c r="AP16" i="26" l="1"/>
  <c r="AO23" i="26"/>
  <c r="AD7" i="32" s="1"/>
  <c r="U7" i="16" s="1"/>
  <c r="U6" i="16"/>
  <c r="J14" i="16"/>
  <c r="AQ17" i="26"/>
  <c r="AQ24" i="26" s="1"/>
  <c r="AF6" i="32" s="1"/>
  <c r="AP24" i="26"/>
  <c r="AE6" i="32" s="1"/>
  <c r="V6" i="16" s="1"/>
  <c r="AF18" i="26"/>
  <c r="AE25" i="26"/>
  <c r="T14" i="32" s="1"/>
  <c r="AP3" i="26"/>
  <c r="K14" i="16" l="1"/>
  <c r="AG18" i="26"/>
  <c r="AF25" i="26"/>
  <c r="U14" i="32" s="1"/>
  <c r="AQ16" i="26"/>
  <c r="AQ23" i="26" s="1"/>
  <c r="AF7" i="32" s="1"/>
  <c r="AP23" i="26"/>
  <c r="AE7" i="32" s="1"/>
  <c r="V7" i="16" s="1"/>
  <c r="W6" i="16"/>
  <c r="X6" i="16" s="1"/>
  <c r="Y6" i="16" s="1"/>
  <c r="Z6" i="16" s="1"/>
  <c r="AA6" i="16" s="1"/>
  <c r="AB6" i="16" s="1"/>
  <c r="AC6" i="16" s="1"/>
  <c r="AD6" i="16" s="1"/>
  <c r="AE6" i="16" s="1"/>
  <c r="AF6" i="16" s="1"/>
  <c r="W7" i="16" l="1"/>
  <c r="X7" i="16" s="1"/>
  <c r="Y7" i="16" s="1"/>
  <c r="Z7" i="16" s="1"/>
  <c r="AA7" i="16" s="1"/>
  <c r="AB7" i="16" s="1"/>
  <c r="AC7" i="16" s="1"/>
  <c r="AD7" i="16" s="1"/>
  <c r="AE7" i="16" s="1"/>
  <c r="AF7" i="16" s="1"/>
  <c r="L14" i="16"/>
  <c r="AH18" i="26"/>
  <c r="AG25" i="26"/>
  <c r="V14" i="32" s="1"/>
  <c r="M14" i="16" l="1"/>
  <c r="AI18" i="26"/>
  <c r="AH25" i="26"/>
  <c r="W14" i="32" s="1"/>
  <c r="N14" i="16" l="1"/>
  <c r="AJ18" i="26"/>
  <c r="AI25" i="26"/>
  <c r="X14" i="32" s="1"/>
  <c r="O14" i="16" s="1"/>
  <c r="AK18" i="26" l="1"/>
  <c r="AJ25" i="26"/>
  <c r="Y14" i="32" s="1"/>
  <c r="P14" i="16" s="1"/>
  <c r="AL18" i="26" l="1"/>
  <c r="AK25" i="26"/>
  <c r="Z14" i="32" s="1"/>
  <c r="Q14" i="16" l="1"/>
  <c r="AM18" i="26"/>
  <c r="AL25" i="26"/>
  <c r="AA14" i="32" s="1"/>
  <c r="R14" i="16" s="1"/>
  <c r="AN18" i="26" l="1"/>
  <c r="AM25" i="26"/>
  <c r="AB14" i="32" s="1"/>
  <c r="S14" i="16" s="1"/>
  <c r="AO18" i="26" l="1"/>
  <c r="AN25" i="26"/>
  <c r="AC14" i="32" s="1"/>
  <c r="T14" i="16" s="1"/>
  <c r="AP18" i="26" l="1"/>
  <c r="AO25" i="26"/>
  <c r="AD14" i="32" s="1"/>
  <c r="U14" i="16" s="1"/>
  <c r="AQ18" i="26" l="1"/>
  <c r="AQ25" i="26" s="1"/>
  <c r="AF14" i="32" s="1"/>
  <c r="AP25" i="26"/>
  <c r="AE14" i="32" s="1"/>
  <c r="V14" i="16" s="1"/>
  <c r="W14" i="16" l="1"/>
  <c r="X14" i="16" s="1"/>
  <c r="Y14" i="16" s="1"/>
  <c r="Z14" i="16" s="1"/>
  <c r="AA14" i="16" s="1"/>
  <c r="AB14" i="16" s="1"/>
  <c r="AC14" i="16" s="1"/>
  <c r="AD14" i="16" s="1"/>
  <c r="AE14" i="16" s="1"/>
  <c r="AF14" i="16" s="1"/>
</calcChain>
</file>

<file path=xl/sharedStrings.xml><?xml version="1.0" encoding="utf-8"?>
<sst xmlns="http://schemas.openxmlformats.org/spreadsheetml/2006/main" count="853" uniqueCount="274">
  <si>
    <t>Source:</t>
  </si>
  <si>
    <t>Model Energy Source</t>
  </si>
  <si>
    <t>solar</t>
  </si>
  <si>
    <t>wind</t>
  </si>
  <si>
    <t>hydro</t>
  </si>
  <si>
    <t>biomass</t>
  </si>
  <si>
    <t>coal</t>
  </si>
  <si>
    <t>nuclear</t>
  </si>
  <si>
    <t>biofuel gasoline</t>
  </si>
  <si>
    <t>biofuel diesel</t>
  </si>
  <si>
    <t>Unit</t>
  </si>
  <si>
    <t>Notes</t>
  </si>
  <si>
    <t>Year</t>
  </si>
  <si>
    <t>electricity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</si>
  <si>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</si>
  <si>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</si>
  <si>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</si>
  <si>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</si>
  <si>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</si>
  <si>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</si>
  <si>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</si>
  <si>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heat</t>
  </si>
  <si>
    <t>solar PV ($/MWh)</t>
  </si>
  <si>
    <t>solar thermal ($/MWh)</t>
  </si>
  <si>
    <t>Subsidy Name</t>
  </si>
  <si>
    <t>Fuel/Electricity</t>
  </si>
  <si>
    <t>Electricity</t>
  </si>
  <si>
    <t>geothermal</t>
  </si>
  <si>
    <t>biomass ($/MWh)</t>
  </si>
  <si>
    <t>natural gas nonpeaker ($/MWh)</t>
  </si>
  <si>
    <t>petroleum ($/MWh)</t>
  </si>
  <si>
    <t>geothermal ($/MWh)</t>
  </si>
  <si>
    <t>natural gas peaker ($/MWh)</t>
  </si>
  <si>
    <t>lignite ($/BTU)</t>
  </si>
  <si>
    <t>lignite ($/MWh)</t>
  </si>
  <si>
    <t>offshore wind ($/MWh)</t>
  </si>
  <si>
    <t>hard coal ($/BTU)</t>
  </si>
  <si>
    <t>hard coal ($/MWh)</t>
  </si>
  <si>
    <t>onshore wind ($/MWh)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</si>
  <si>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</si>
  <si>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</si>
  <si>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</si>
  <si>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</si>
  <si>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</si>
  <si>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</si>
  <si>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</si>
  <si>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</si>
  <si>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</si>
  <si>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</si>
  <si>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</si>
  <si>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</si>
  <si>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</si>
  <si>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hydrogen</t>
  </si>
  <si>
    <t>crude oil</t>
  </si>
  <si>
    <t>heavy fuel oil</t>
  </si>
  <si>
    <t>LPG propane or butane</t>
  </si>
  <si>
    <t>municipal solid waste</t>
  </si>
  <si>
    <t>crude oil ($/MWh)</t>
  </si>
  <si>
    <t>heavy or residual fuel oil ($/MWh)</t>
  </si>
  <si>
    <t>municipal solid waste ($/MWh)</t>
  </si>
  <si>
    <t>onshore wind</t>
  </si>
  <si>
    <t>offshore wind</t>
  </si>
  <si>
    <t>BS BAU Subsidy per Unit Electricity Capacity Built</t>
    <phoneticPr fontId="9" type="noConversion"/>
  </si>
  <si>
    <t>LPG</t>
    <phoneticPr fontId="9" type="noConversion"/>
  </si>
  <si>
    <t>한국 에너지 구성비(비율, 수입량, 수입의존도, 수입액) 정리</t>
    <phoneticPr fontId="9" type="noConversion"/>
  </si>
  <si>
    <t>천연가스(LNG)</t>
    <phoneticPr fontId="9" type="noConversion"/>
  </si>
  <si>
    <t>석유(Petroleum)</t>
    <phoneticPr fontId="9" type="noConversion"/>
  </si>
  <si>
    <t>석탄(Coal)</t>
    <phoneticPr fontId="9" type="noConversion"/>
  </si>
  <si>
    <t>수력(Hydro)</t>
    <phoneticPr fontId="9" type="noConversion"/>
  </si>
  <si>
    <t>원자력(Nuclear)</t>
    <phoneticPr fontId="9" type="noConversion"/>
  </si>
  <si>
    <t>신재생(Renewables)</t>
    <phoneticPr fontId="9" type="noConversion"/>
  </si>
  <si>
    <t>수입량</t>
    <phoneticPr fontId="9" type="noConversion"/>
  </si>
  <si>
    <t>무연탄(Anthracite)</t>
    <phoneticPr fontId="9" type="noConversion"/>
  </si>
  <si>
    <t>유연탄(Bituminous)</t>
    <phoneticPr fontId="9" type="noConversion"/>
  </si>
  <si>
    <t>기타석탄(Others)</t>
    <phoneticPr fontId="9" type="noConversion"/>
  </si>
  <si>
    <t>원유(Crude Oil)</t>
    <phoneticPr fontId="9" type="noConversion"/>
  </si>
  <si>
    <t>석유제품(Petroleum Products)</t>
    <phoneticPr fontId="9" type="noConversion"/>
  </si>
  <si>
    <t>원자력 연료(Uranium)</t>
    <phoneticPr fontId="9" type="noConversion"/>
  </si>
  <si>
    <t>수출량</t>
    <phoneticPr fontId="9" type="noConversion"/>
  </si>
  <si>
    <t>1,000 ton</t>
    <phoneticPr fontId="9" type="noConversion"/>
  </si>
  <si>
    <t>수입액</t>
    <phoneticPr fontId="9" type="noConversion"/>
  </si>
  <si>
    <t>나프타(Naphtha)</t>
    <phoneticPr fontId="9" type="noConversion"/>
  </si>
  <si>
    <t>Million USD(CIF)</t>
    <phoneticPr fontId="9" type="noConversion"/>
  </si>
  <si>
    <t>page 4~</t>
    <phoneticPr fontId="9" type="noConversion"/>
  </si>
  <si>
    <t>생산</t>
    <phoneticPr fontId="9" type="noConversion"/>
  </si>
  <si>
    <t>1차에너지 공급구조</t>
    <phoneticPr fontId="9" type="noConversion"/>
  </si>
  <si>
    <t>1000 ton</t>
    <phoneticPr fontId="9" type="noConversion"/>
  </si>
  <si>
    <t>수입</t>
    <phoneticPr fontId="9" type="noConversion"/>
  </si>
  <si>
    <t>1000 bbl</t>
    <phoneticPr fontId="9" type="noConversion"/>
  </si>
  <si>
    <t>GWh</t>
    <phoneticPr fontId="9" type="noConversion"/>
  </si>
  <si>
    <t>구성비</t>
    <phoneticPr fontId="9" type="noConversion"/>
  </si>
  <si>
    <t>1000 toe</t>
    <phoneticPr fontId="9" type="noConversion"/>
  </si>
  <si>
    <t>=&gt; 무연탄 지원금을 찾아보자</t>
    <phoneticPr fontId="9" type="noConversion"/>
  </si>
  <si>
    <t>Special rules for nuclear decommissioning costs</t>
    <phoneticPr fontId="9" type="noConversion"/>
  </si>
  <si>
    <t>Amortization of air pollution control facilities</t>
    <phoneticPr fontId="9" type="noConversion"/>
  </si>
  <si>
    <t>BS BAU Subsidy per Unit Electricity Output</t>
    <phoneticPr fontId="9" type="noConversion"/>
  </si>
  <si>
    <t>BS BAU Subsidy for Thermal Fuels per Energy Unit Produced</t>
    <phoneticPr fontId="9" type="noConversion"/>
  </si>
  <si>
    <t>Notes</t>
    <phoneticPr fontId="9" type="noConversion"/>
  </si>
  <si>
    <t>solar pv</t>
    <phoneticPr fontId="9" type="noConversion"/>
  </si>
  <si>
    <t>offshore wind</t>
    <phoneticPr fontId="9" type="noConversion"/>
  </si>
  <si>
    <t>year</t>
    <phoneticPr fontId="9" type="noConversion"/>
  </si>
  <si>
    <t>계</t>
  </si>
  <si>
    <t>$/kW</t>
    <phoneticPr fontId="9" type="noConversion"/>
  </si>
  <si>
    <t>onshore wind</t>
    <phoneticPr fontId="9" type="noConversion"/>
  </si>
  <si>
    <t>min</t>
    <phoneticPr fontId="9" type="noConversion"/>
  </si>
  <si>
    <t>max</t>
    <phoneticPr fontId="9" type="noConversion"/>
  </si>
  <si>
    <t>offshore wind</t>
    <phoneticPr fontId="9" type="noConversion"/>
  </si>
  <si>
    <t>https://www.irena.org/Statistics/View-Data-by-Topic/Costs/Global-Trends</t>
    <phoneticPr fontId="9" type="noConversion"/>
  </si>
  <si>
    <t>https://www.irena.org/-/media/files/irena/agency/publication/2019/oct/irena_future_of_wind_2019.pdf</t>
    <phoneticPr fontId="9" type="noConversion"/>
  </si>
  <si>
    <t>onshore wind</t>
    <phoneticPr fontId="9" type="noConversion"/>
  </si>
  <si>
    <t>https://irena.org/-/media/Files/IRENA/Agency/Publication/2019/Nov/IRENA_Future_of_Solar_PV_2019.pdf</t>
    <phoneticPr fontId="9" type="noConversion"/>
  </si>
  <si>
    <t>solar pv</t>
    <phoneticPr fontId="9" type="noConversion"/>
  </si>
  <si>
    <t>bio</t>
    <phoneticPr fontId="9" type="noConversion"/>
  </si>
  <si>
    <t>hydro</t>
    <phoneticPr fontId="9" type="noConversion"/>
  </si>
  <si>
    <t>2026-2029</t>
    <phoneticPr fontId="9" type="noConversion"/>
  </si>
  <si>
    <t>2020-2024</t>
    <phoneticPr fontId="9" type="noConversion"/>
  </si>
  <si>
    <t>2031-2050</t>
    <phoneticPr fontId="9" type="noConversion"/>
  </si>
  <si>
    <t>mismatch for assumption</t>
    <phoneticPr fontId="9" type="noConversion"/>
  </si>
  <si>
    <t>blue is assumption value</t>
    <phoneticPr fontId="9" type="noConversion"/>
  </si>
  <si>
    <t>2020, 수력은 2019가격에 고정</t>
    <phoneticPr fontId="9" type="noConversion"/>
  </si>
  <si>
    <t>2020, 바이오는 2010-2019의 평균가 고정</t>
    <phoneticPr fontId="9" type="noConversion"/>
  </si>
  <si>
    <t>비용이 상승하는 추세지만, 결국 한정된 건설환경으로 수요 또한 감소할 것으로 추정, 두 효과가 상충된다고 가정하여 2019 고정</t>
    <phoneticPr fontId="9" type="noConversion"/>
  </si>
  <si>
    <t>규칙을 찾을 수 없음, 평균가격에 고정</t>
    <phoneticPr fontId="9" type="noConversion"/>
  </si>
  <si>
    <t>1MW</t>
    <phoneticPr fontId="9" type="noConversion"/>
  </si>
  <si>
    <t>kW</t>
    <phoneticPr fontId="9" type="noConversion"/>
  </si>
  <si>
    <t>중소기업</t>
    <phoneticPr fontId="9" type="noConversion"/>
  </si>
  <si>
    <t>중견기업</t>
    <phoneticPr fontId="9" type="noConversion"/>
  </si>
  <si>
    <t>내국법인(내국인)</t>
    <phoneticPr fontId="9" type="noConversion"/>
  </si>
  <si>
    <t>https://kosis.kr/statHtml/statHtml.do?orgId=339&amp;tblId=DT_F_M110</t>
    <phoneticPr fontId="9" type="noConversion"/>
  </si>
  <si>
    <t>가정</t>
    <phoneticPr fontId="9" type="noConversion"/>
  </si>
  <si>
    <t>https://www.nabo.go.kr/system/common/JSPservlet/download.jsp?fCode=33315609&amp;fSHC=&amp;fName=%EB%AF%B8%EC%84%B8%EB%A8%BC%EC%A7%80+%EB%8C%80%EC%9D%91+%EC%82%AC%EC%97%85+%EB%B6%84%EC%84%9D.pdf&amp;fMime=application/pdf&amp;fBid=19&amp;flag=bluenet</t>
    <phoneticPr fontId="9" type="noConversion"/>
  </si>
  <si>
    <t>page 49, 61</t>
    <phoneticPr fontId="9" type="noConversion"/>
  </si>
  <si>
    <t>굴뚝자동측정기기 예산, 석탄지원금으로 할당</t>
    <phoneticPr fontId="9" type="noConversion"/>
  </si>
  <si>
    <t>https://kosis.kr/statHtml/statHtml.do?orgId=388&amp;tblId=TX_38803_A000A</t>
    <phoneticPr fontId="9" type="noConversion"/>
  </si>
  <si>
    <t>KOSIS</t>
    <phoneticPr fontId="9" type="noConversion"/>
  </si>
  <si>
    <t>2020</t>
  </si>
  <si>
    <t>원자력</t>
  </si>
  <si>
    <t>양수</t>
  </si>
  <si>
    <t>신재생</t>
  </si>
  <si>
    <t>기타</t>
  </si>
  <si>
    <t>유류</t>
  </si>
  <si>
    <t/>
  </si>
  <si>
    <t>-</t>
  </si>
  <si>
    <t>유연탄</t>
    <phoneticPr fontId="9" type="noConversion"/>
  </si>
  <si>
    <t>무연탄</t>
    <phoneticPr fontId="9" type="noConversion"/>
  </si>
  <si>
    <t>통계표명:</t>
  </si>
  <si>
    <t>에너지원별 발전량 현황</t>
  </si>
  <si>
    <t>단위:</t>
  </si>
  <si>
    <t>GWh, %</t>
  </si>
  <si>
    <t>석탄</t>
  </si>
  <si>
    <t>가스</t>
  </si>
  <si>
    <t>발전량</t>
  </si>
  <si>
    <t>비중</t>
  </si>
  <si>
    <t>용도및회사별(1)</t>
  </si>
  <si>
    <t>용도및회사별(2)</t>
  </si>
  <si>
    <t>합계</t>
  </si>
  <si>
    <t>기력</t>
  </si>
  <si>
    <t>복합화력</t>
  </si>
  <si>
    <t>내연력</t>
  </si>
  <si>
    <t>집단에너지</t>
  </si>
  <si>
    <t>소계</t>
  </si>
  <si>
    <t>유연탄</t>
  </si>
  <si>
    <t>무연탄</t>
  </si>
  <si>
    <t>중유</t>
  </si>
  <si>
    <t>LNG</t>
  </si>
  <si>
    <t>경유</t>
  </si>
  <si>
    <t>수력</t>
  </si>
  <si>
    <t>태양광</t>
  </si>
  <si>
    <t>풍력</t>
  </si>
  <si>
    <t>사업용발전설비</t>
  </si>
  <si>
    <t>한국전력㈜</t>
  </si>
  <si>
    <t>한수원㈜</t>
  </si>
  <si>
    <t>남동발전㈜</t>
  </si>
  <si>
    <t>중부발전㈜</t>
  </si>
  <si>
    <t>서부발전㈜</t>
  </si>
  <si>
    <t>남부발전㈜</t>
  </si>
  <si>
    <t>동서발전㈜</t>
  </si>
  <si>
    <t>포스코에너지㈜</t>
  </si>
  <si>
    <t>GS EPS㈜</t>
  </si>
  <si>
    <t>지역난방공사</t>
  </si>
  <si>
    <t>씨지앤</t>
  </si>
  <si>
    <t>동두천드림파워㈜</t>
  </si>
  <si>
    <t>파주에너지서비스</t>
  </si>
  <si>
    <t>포천파워㈜</t>
  </si>
  <si>
    <t>GS 파워㈜</t>
  </si>
  <si>
    <t>수자원공사</t>
  </si>
  <si>
    <t>㈜GS동해전력</t>
  </si>
  <si>
    <t>구역전기설비</t>
  </si>
  <si>
    <t>발전사별 설비용량</t>
    <phoneticPr fontId="9" type="noConversion"/>
  </si>
  <si>
    <t>설비비율</t>
    <phoneticPr fontId="9" type="noConversion"/>
  </si>
  <si>
    <t>구분</t>
    <phoneticPr fontId="9" type="noConversion"/>
  </si>
  <si>
    <t>$</t>
    <phoneticPr fontId="9" type="noConversion"/>
  </si>
  <si>
    <t>IRENA</t>
    <phoneticPr fontId="9" type="noConversion"/>
  </si>
  <si>
    <t>Global weighted average total installed costs</t>
    <phoneticPr fontId="9" type="noConversion"/>
  </si>
  <si>
    <t>https://www.irena.org/-/media/Files/IRENA/Agency/Publication/2016/IRENA_Power_to_Change_2016.pdf</t>
    <phoneticPr fontId="9" type="noConversion"/>
  </si>
  <si>
    <t>Page 27</t>
    <phoneticPr fontId="9" type="noConversion"/>
  </si>
  <si>
    <t>Page 32, 48</t>
    <phoneticPr fontId="9" type="noConversion"/>
  </si>
  <si>
    <t>조세특례제한법 제25조 2</t>
    <phoneticPr fontId="9" type="noConversion"/>
  </si>
  <si>
    <t>Page 10</t>
    <phoneticPr fontId="9" type="noConversion"/>
  </si>
  <si>
    <t>The Power to change: solar and wind cost reduction potential to 2025</t>
    <phoneticPr fontId="9" type="noConversion"/>
  </si>
  <si>
    <t>Future of solar photovoltaic</t>
    <phoneticPr fontId="9" type="noConversion"/>
  </si>
  <si>
    <t>Future of wind</t>
    <phoneticPr fontId="9" type="noConversion"/>
  </si>
  <si>
    <t>USD</t>
    <phoneticPr fontId="9" type="noConversion"/>
  </si>
  <si>
    <t>solar pv</t>
    <phoneticPr fontId="9" type="noConversion"/>
  </si>
  <si>
    <t>onshore wind</t>
    <phoneticPr fontId="9" type="noConversion"/>
  </si>
  <si>
    <t>IRENA, 연도별 신재생에너지 kW당 설치비용</t>
    <phoneticPr fontId="9" type="noConversion"/>
  </si>
  <si>
    <t>IRENA 데이터 사용</t>
    <phoneticPr fontId="9" type="noConversion"/>
  </si>
  <si>
    <t>2020-2025</t>
    <phoneticPr fontId="9" type="noConversion"/>
  </si>
  <si>
    <t>2025-2030</t>
    <phoneticPr fontId="9" type="noConversion"/>
  </si>
  <si>
    <t>2018-2050</t>
    <phoneticPr fontId="9" type="noConversion"/>
  </si>
  <si>
    <t>2030-2050</t>
    <phoneticPr fontId="9" type="noConversion"/>
  </si>
  <si>
    <t>IRENA 바탕으로 CAGR 추정후, 한국 CAPEX에 적용</t>
    <phoneticPr fontId="9" type="noConversion"/>
  </si>
  <si>
    <t>CAGR</t>
    <phoneticPr fontId="9" type="noConversion"/>
  </si>
  <si>
    <t>min &amp; max</t>
    <phoneticPr fontId="9" type="noConversion"/>
  </si>
  <si>
    <t>For CAPEX</t>
    <phoneticPr fontId="9" type="noConversion"/>
  </si>
  <si>
    <t>For CAGR</t>
    <phoneticPr fontId="9" type="noConversion"/>
  </si>
  <si>
    <t>won/kW</t>
    <phoneticPr fontId="9" type="noConversion"/>
  </si>
  <si>
    <t>CAPEX(USD)</t>
    <phoneticPr fontId="9" type="noConversion"/>
  </si>
  <si>
    <t>CAPEX(won)</t>
    <phoneticPr fontId="9" type="noConversion"/>
  </si>
  <si>
    <t>offshore wind CAPEX</t>
    <phoneticPr fontId="9" type="noConversion"/>
  </si>
  <si>
    <t>해당 reference를 확인한 결과 위 원/kW는 오타이며 1000원/kW가 맞음</t>
    <phoneticPr fontId="9" type="noConversion"/>
  </si>
  <si>
    <t>https://signal.sedaily.com/Common/FileDownload?fileName=%EC%84%B8%EA%B3%84_%EC%9E%AC%EC%83%9D%EC%97%90%EB%84%88%EC%A7%80_%EC%9E%90%EA%B5%AD%EC%82%B0_%EB%B6%80%ED%92%88%EC%82%AC%EC%9A%A9%EC%9A%94%EA%B1%B4_%EC%A0%95%EC%B1%85%EC%97%90_%EB%8C%80%ED%95%9C_%EB%8C%80%EC%9D%91%EB%B0%A9%EC%95%88_%EC%97%B0%EA%B5%AC.pdf&amp;fullPath=/Service/Branch/Signal/Report/2020/04/17/%EC%84%B8%EA%B3%84_%EC%9E%AC%EC%83%9D%EC%97%90%EB%84%88%EC%A7%80_%EC%9E%90%EA%B5%AD%EC%82%B0_%EB%B6%80%ED%92%88%EC%82%AC%EC%9A%A9%EC%9A%94%EA%B1%B4_%EC%A0%95%EC%B1%85%EC%97%90_%EB%8C%80%ED%95%9C_%EB%8C%80%EC%9D%91%EB%B0%A9%EC%95%88_%EC%97%B0%EA%B5%AC.pdf</t>
    <phoneticPr fontId="9" type="noConversion"/>
  </si>
  <si>
    <t>http://www.keei.re.kr/web_keei/d_results.nsf/0/A10FCB3438C55F4349258669004FC436/$file/%EA%B8%B0%EB%B3%B8%202020-21_%EC%9E%AC%EC%83%9D%EC%97%90%EB%84%88%EC%A7%80%20%EA%B3%B5%EA%B8%89%ED%99%95%EB%8C%80%EB%A5%BC%20%EC%9C%84%ED%95%9C%20%EC%A4%91%EC%9E%A5%EA%B8%B0%20%EB%B0%9C%EC%A0%84%EB%8B%A8%EA%B0%80(LCOE)%20%EC%A0%84%EB%A7%9D%20%EC%8B%9C%EC%8A%A4%ED%85%9C%20%EA%B5%AC%EC%B6%95%20%EB%B0%8F%20%EC%9A%B4%EC%98%81.pdf</t>
    <phoneticPr fontId="9" type="noConversion"/>
  </si>
  <si>
    <t>https://glaw.scourt.go.kr/wsjo/lawod/sjo192.do?lawodNm=%EC%A1%B0%EC%84%B8%ED%8A%B9%EB%A1%80%EC%A0%9C%ED%95%9C%EB%B2%95&amp;jomunNo=24&amp;jomunGajiNo=</t>
    <phoneticPr fontId="9" type="noConversion"/>
  </si>
  <si>
    <t>https://www.index.go.kr/potal/main/EachDtlPageDetail.do?idx_cd=1339</t>
    <phoneticPr fontId="9" type="noConversion"/>
  </si>
  <si>
    <t>무연탄, 유연탄 별 발전기여도(추정)(MWh)</t>
    <phoneticPr fontId="9" type="noConversion"/>
  </si>
  <si>
    <t>LCOE전망(won/kWh)</t>
    <phoneticPr fontId="9" type="noConversion"/>
  </si>
  <si>
    <t>URL:</t>
    <phoneticPr fontId="9" type="noConversion"/>
  </si>
  <si>
    <t>https://home.kepco.co.kr/kepco/KR/ntcob/ntcobView.do?pageIndex=1&amp;boardSeq=21049282&amp;boardCd=BRD_000516&amp;menuCd=FN3113</t>
  </si>
  <si>
    <t>=&gt; 사회적 관점 선택</t>
    <phoneticPr fontId="9" type="noConversion"/>
  </si>
  <si>
    <t>Page 120, 121</t>
    <phoneticPr fontId="9" type="noConversion"/>
  </si>
  <si>
    <t>Page 79, 80</t>
    <phoneticPr fontId="9" type="noConversion"/>
  </si>
  <si>
    <t>solar pv, onshore wind</t>
    <phoneticPr fontId="9" type="noConversion"/>
  </si>
  <si>
    <t>반영 시작 수치</t>
    <phoneticPr fontId="9" type="noConversion"/>
  </si>
  <si>
    <t>=&gt;태양광 CAGR만 현물가격 감소에 반영</t>
    <phoneticPr fontId="9" type="noConversion"/>
  </si>
  <si>
    <t>전원구성 전망 확인 후 offshore과 산술평균수치를 적용할지 생각중</t>
    <phoneticPr fontId="9" type="noConversion"/>
  </si>
  <si>
    <t>BS-BSpUECB</t>
  </si>
  <si>
    <t>세액공제의 이월공제기간이 10년인 것을 적용한 데이터</t>
    <phoneticPr fontId="9" type="noConversion"/>
  </si>
  <si>
    <t>Fine dust project evaluation</t>
  </si>
  <si>
    <t>NABO</t>
  </si>
  <si>
    <t>Domestic emission reduction: industry</t>
  </si>
  <si>
    <t>Generation share of coal</t>
  </si>
  <si>
    <t>Index Korea</t>
  </si>
  <si>
    <t>Generation share by source</t>
  </si>
  <si>
    <t>Generation capacity by company</t>
  </si>
  <si>
    <t>Cost of PV, hydro, wind and bioenergy in 2010-2019</t>
  </si>
  <si>
    <t>Installation cost of renewables in 2030 and 2050 for estimating CAGR</t>
  </si>
  <si>
    <t>Installation cost of PV and wind in 2025 for estimating CAGR</t>
  </si>
  <si>
    <t>Price prediction of solar photovoltaic in 2030 and 2050</t>
  </si>
  <si>
    <t>Price prediction of onshore and offshore wind in 2030 and 2050</t>
  </si>
  <si>
    <t>Projecting installation cost and LCOE of solar PV and onshore wind</t>
  </si>
  <si>
    <t>KEEI</t>
  </si>
  <si>
    <t>Projecting CAPEX of solar PV, and projecting LCOE of solar PV and wind (2020 est.)</t>
  </si>
  <si>
    <t>Projecting installation cost and LCOE of  offshore wind</t>
  </si>
  <si>
    <t>Offshore wind CAPEX breakdown in 2018, and LCOE trend between 2018 and 2030 in South Korea</t>
  </si>
  <si>
    <t>Tax credit for investment in new and renewable energy manufacturing facilities</t>
  </si>
  <si>
    <t>Integrated Investment Tax Credit (Article 24)</t>
  </si>
  <si>
    <t>Korea's dependence on fuel imports is 94%, so fuel production is limited.</t>
  </si>
  <si>
    <t>Most of the fuel produced is hard coal and natural gas, but there is no corresponding PTC (Production Tax Credit).</t>
  </si>
  <si>
    <t>As there was no official estimate for the cost of dismantling nuclear power plants in Korea, it was assigned as 0 won.</t>
  </si>
  <si>
    <t>Subsidy (Subsidies Paid) for automatic chimney measurement equipment was divided by anthracite and bituminous coal capacity and allocated to BSpUEO.</t>
  </si>
  <si>
    <t>There are errors that may occur in the subsidy for power generation facilities (BS-BSpUECB)</t>
  </si>
  <si>
    <t>The tax credit for domestic renewable energy facilities can be explained in two ways.</t>
  </si>
  <si>
    <t>1. Tax deducted by applying a specific ratio (ex, 1, 3, 7%) to the facility investment cost.</t>
  </si>
  <si>
    <t>2. Profit and loss * Tax deducted by applying a specific ratio to the tax to which corporate tax has been applied</t>
  </si>
  <si>
    <t>The data in the data sheet was calculated based on 1. For this reason, the subsidy received by small power generators supported by the scheme 2 may be distorted.</t>
  </si>
  <si>
    <t>For example, in the case of a large-scale power plant, profit and loss for the period is high enough to receive tax credit benefits under 1</t>
  </si>
  <si>
    <t>However, in the case of small-scale power generation operators, the profit or loss is small, so they cannot receive a tax credit for power generation facilities. So, they get a tax deduction based on 2.</t>
  </si>
  <si>
    <t>To reduce errors, the results tab was drawn up using the fact that investment tax credits can be deducted over 10 years.</t>
  </si>
  <si>
    <t>In addition, there is a minimum tax, so even if you receive benefits, a power company cannot pay less than the minimum tax, but the minimum tax was not applied.</t>
  </si>
  <si>
    <t>no Subsidy</t>
    <phoneticPr fontId="9" type="noConversion"/>
  </si>
  <si>
    <t>Notes</t>
    <phoneticPr fontId="9" type="noConversion"/>
  </si>
  <si>
    <t>무연탄과 유연탄 발전이 합쳐진 지원 예산 현황 자료를 발전기여도를 통해 분할하였다.</t>
    <phoneticPr fontId="9" type="noConversion"/>
  </si>
  <si>
    <t>대기오염물질 총량관리대상 사업장은 굴뚝자동측정기기 설치가 의무 사항이고, 이를 예산을 통해 설치유도 및 운영지원을 하고 있다.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</si>
</sst>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_ "/>
    <numFmt numFmtId="166" formatCode="0.E+00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sz val="11"/>
      <color rgb="FF00B0F0"/>
      <name val="Calibri"/>
      <family val="2"/>
      <scheme val="minor"/>
    </font>
    <font>
      <sz val="11"/>
      <name val="Calibri"/>
      <family val="3"/>
      <charset val="129"/>
      <scheme val="minor"/>
    </font>
    <font>
      <b/>
      <sz val="10"/>
      <name val="Arial"/>
      <family val="2"/>
    </font>
    <font>
      <b/>
      <sz val="11"/>
      <name val="Calibri"/>
      <family val="3"/>
      <charset val="129"/>
      <scheme val="minor"/>
    </font>
    <font>
      <b/>
      <sz val="11"/>
      <color rgb="FF00B0F0"/>
      <name val="Calibri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</cellStyleXfs>
  <cellXfs count="120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/>
    <xf numFmtId="0" fontId="0" fillId="0" borderId="0" xfId="0"/>
    <xf numFmtId="0" fontId="6" fillId="0" borderId="0" xfId="0" applyFont="1" applyFill="1" applyAlignment="1">
      <alignment wrapText="1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64" fontId="0" fillId="0" borderId="0" xfId="0" applyNumberFormat="1"/>
    <xf numFmtId="11" fontId="0" fillId="0" borderId="0" xfId="0" applyNumberFormat="1" applyAlignment="1"/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0" fontId="7" fillId="0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Fill="1"/>
    <xf numFmtId="0" fontId="6" fillId="0" borderId="0" xfId="0" applyFont="1"/>
    <xf numFmtId="0" fontId="0" fillId="0" borderId="0" xfId="0"/>
    <xf numFmtId="0" fontId="0" fillId="2" borderId="0" xfId="0" applyFill="1"/>
    <xf numFmtId="0" fontId="10" fillId="0" borderId="0" xfId="0" applyFont="1"/>
    <xf numFmtId="0" fontId="0" fillId="0" borderId="0" xfId="0" quotePrefix="1"/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/>
    <xf numFmtId="0" fontId="0" fillId="0" borderId="0" xfId="0"/>
    <xf numFmtId="9" fontId="0" fillId="0" borderId="0" xfId="0" applyNumberFormat="1"/>
    <xf numFmtId="0" fontId="2" fillId="0" borderId="0" xfId="1"/>
    <xf numFmtId="0" fontId="13" fillId="0" borderId="0" xfId="1" applyFont="1"/>
    <xf numFmtId="0" fontId="11" fillId="0" borderId="0" xfId="0" applyFont="1" applyAlignment="1"/>
    <xf numFmtId="0" fontId="11" fillId="0" borderId="0" xfId="0" applyFont="1" applyFill="1" applyAlignment="1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vertical="center"/>
    </xf>
    <xf numFmtId="165" fontId="0" fillId="0" borderId="0" xfId="0" applyNumberFormat="1"/>
    <xf numFmtId="0" fontId="0" fillId="0" borderId="0" xfId="0" applyAlignment="1">
      <alignment horizontal="right"/>
    </xf>
    <xf numFmtId="9" fontId="0" fillId="2" borderId="0" xfId="0" applyNumberFormat="1" applyFill="1"/>
    <xf numFmtId="3" fontId="0" fillId="0" borderId="0" xfId="0" applyNumberFormat="1"/>
    <xf numFmtId="0" fontId="14" fillId="3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5" xfId="0" applyNumberFormat="1" applyBorder="1" applyAlignment="1">
      <alignment horizontal="right" vertical="center"/>
    </xf>
    <xf numFmtId="3" fontId="0" fillId="0" borderId="5" xfId="0" applyNumberFormat="1" applyBorder="1" applyAlignment="1">
      <alignment horizontal="right" vertical="center"/>
    </xf>
    <xf numFmtId="0" fontId="0" fillId="5" borderId="6" xfId="0" applyFill="1" applyBorder="1"/>
    <xf numFmtId="0" fontId="0" fillId="6" borderId="7" xfId="0" applyFill="1" applyBorder="1"/>
    <xf numFmtId="3" fontId="0" fillId="0" borderId="6" xfId="0" applyNumberFormat="1" applyBorder="1" applyAlignment="1">
      <alignment horizontal="right"/>
    </xf>
    <xf numFmtId="0" fontId="0" fillId="6" borderId="8" xfId="0" applyFill="1" applyBorder="1"/>
    <xf numFmtId="0" fontId="0" fillId="6" borderId="6" xfId="0" applyFill="1" applyBorder="1"/>
    <xf numFmtId="10" fontId="0" fillId="0" borderId="0" xfId="0" applyNumberFormat="1"/>
    <xf numFmtId="166" fontId="0" fillId="0" borderId="0" xfId="0" applyNumberFormat="1"/>
    <xf numFmtId="0" fontId="0" fillId="2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1" applyFont="1" applyAlignment="1">
      <alignment horizontal="left" vertical="center"/>
    </xf>
    <xf numFmtId="0" fontId="16" fillId="0" borderId="0" xfId="0" applyFont="1"/>
    <xf numFmtId="0" fontId="0" fillId="7" borderId="0" xfId="0" applyFill="1" applyAlignment="1">
      <alignment vertical="center"/>
    </xf>
    <xf numFmtId="0" fontId="10" fillId="7" borderId="0" xfId="0" applyFont="1" applyFill="1" applyAlignment="1">
      <alignment horizontal="left" vertical="center"/>
    </xf>
    <xf numFmtId="0" fontId="15" fillId="7" borderId="0" xfId="1" applyFont="1" applyFill="1" applyAlignment="1">
      <alignment horizontal="left" vertical="center"/>
    </xf>
    <xf numFmtId="0" fontId="10" fillId="7" borderId="0" xfId="0" applyFont="1" applyFill="1" applyAlignment="1">
      <alignment vertical="center"/>
    </xf>
    <xf numFmtId="0" fontId="0" fillId="0" borderId="0" xfId="0" applyAlignment="1">
      <alignment horizontal="right" vertical="center"/>
    </xf>
    <xf numFmtId="165" fontId="0" fillId="0" borderId="0" xfId="0" applyNumberFormat="1" applyFill="1"/>
    <xf numFmtId="165" fontId="10" fillId="0" borderId="0" xfId="0" applyNumberFormat="1" applyFont="1"/>
    <xf numFmtId="0" fontId="0" fillId="0" borderId="9" xfId="0" applyBorder="1"/>
    <xf numFmtId="165" fontId="0" fillId="0" borderId="10" xfId="0" applyNumberFormat="1" applyBorder="1"/>
    <xf numFmtId="165" fontId="0" fillId="0" borderId="10" xfId="0" applyNumberFormat="1" applyFill="1" applyBorder="1"/>
    <xf numFmtId="165" fontId="12" fillId="0" borderId="10" xfId="0" applyNumberFormat="1" applyFont="1" applyBorder="1"/>
    <xf numFmtId="165" fontId="12" fillId="0" borderId="11" xfId="0" applyNumberFormat="1" applyFont="1" applyBorder="1"/>
    <xf numFmtId="0" fontId="0" fillId="0" borderId="12" xfId="0" applyBorder="1"/>
    <xf numFmtId="165" fontId="0" fillId="0" borderId="0" xfId="0" applyNumberFormat="1" applyBorder="1"/>
    <xf numFmtId="165" fontId="0" fillId="0" borderId="0" xfId="0" applyNumberFormat="1" applyFill="1" applyBorder="1"/>
    <xf numFmtId="165" fontId="12" fillId="0" borderId="0" xfId="0" applyNumberFormat="1" applyFont="1" applyBorder="1"/>
    <xf numFmtId="165" fontId="12" fillId="0" borderId="13" xfId="0" applyNumberFormat="1" applyFont="1" applyBorder="1"/>
    <xf numFmtId="0" fontId="0" fillId="0" borderId="14" xfId="0" applyBorder="1"/>
    <xf numFmtId="165" fontId="0" fillId="0" borderId="15" xfId="0" applyNumberFormat="1" applyBorder="1"/>
    <xf numFmtId="165" fontId="12" fillId="0" borderId="15" xfId="0" applyNumberFormat="1" applyFont="1" applyBorder="1"/>
    <xf numFmtId="165" fontId="12" fillId="0" borderId="16" xfId="0" applyNumberFormat="1" applyFont="1" applyBorder="1"/>
    <xf numFmtId="0" fontId="10" fillId="0" borderId="9" xfId="0" applyFont="1" applyBorder="1" applyAlignment="1">
      <alignment horizontal="right"/>
    </xf>
    <xf numFmtId="0" fontId="10" fillId="0" borderId="10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165" fontId="0" fillId="0" borderId="13" xfId="0" applyNumberFormat="1" applyBorder="1"/>
    <xf numFmtId="165" fontId="0" fillId="2" borderId="0" xfId="0" applyNumberFormat="1" applyFill="1" applyBorder="1"/>
    <xf numFmtId="165" fontId="0" fillId="2" borderId="15" xfId="0" applyNumberFormat="1" applyFill="1" applyBorder="1"/>
    <xf numFmtId="165" fontId="0" fillId="0" borderId="16" xfId="0" applyNumberFormat="1" applyBorder="1"/>
    <xf numFmtId="0" fontId="10" fillId="0" borderId="0" xfId="0" applyFont="1" applyFill="1" applyBorder="1"/>
    <xf numFmtId="0" fontId="11" fillId="0" borderId="9" xfId="0" applyFont="1" applyBorder="1"/>
    <xf numFmtId="0" fontId="0" fillId="0" borderId="10" xfId="0" applyBorder="1"/>
    <xf numFmtId="165" fontId="10" fillId="0" borderId="10" xfId="0" applyNumberFormat="1" applyFont="1" applyBorder="1"/>
    <xf numFmtId="165" fontId="10" fillId="0" borderId="11" xfId="0" applyNumberFormat="1" applyFont="1" applyBorder="1"/>
    <xf numFmtId="0" fontId="0" fillId="0" borderId="0" xfId="0" applyBorder="1"/>
    <xf numFmtId="0" fontId="0" fillId="0" borderId="15" xfId="0" applyBorder="1"/>
    <xf numFmtId="0" fontId="0" fillId="0" borderId="11" xfId="0" applyBorder="1"/>
    <xf numFmtId="0" fontId="0" fillId="0" borderId="13" xfId="0" applyBorder="1"/>
    <xf numFmtId="9" fontId="0" fillId="2" borderId="0" xfId="0" applyNumberFormat="1" applyFill="1" applyBorder="1"/>
    <xf numFmtId="0" fontId="10" fillId="0" borderId="12" xfId="0" applyFont="1" applyBorder="1"/>
    <xf numFmtId="0" fontId="10" fillId="0" borderId="0" xfId="0" applyFont="1" applyBorder="1" applyAlignment="1">
      <alignment horizontal="left"/>
    </xf>
    <xf numFmtId="0" fontId="10" fillId="0" borderId="0" xfId="0" applyFont="1" applyBorder="1"/>
    <xf numFmtId="0" fontId="10" fillId="0" borderId="15" xfId="0" applyFont="1" applyBorder="1"/>
    <xf numFmtId="0" fontId="0" fillId="0" borderId="16" xfId="0" applyBorder="1"/>
    <xf numFmtId="0" fontId="11" fillId="0" borderId="12" xfId="0" applyFont="1" applyBorder="1"/>
    <xf numFmtId="10" fontId="0" fillId="0" borderId="10" xfId="0" applyNumberFormat="1" applyBorder="1"/>
    <xf numFmtId="10" fontId="0" fillId="0" borderId="0" xfId="0" applyNumberFormat="1" applyBorder="1"/>
    <xf numFmtId="165" fontId="10" fillId="0" borderId="13" xfId="0" applyNumberFormat="1" applyFont="1" applyBorder="1"/>
    <xf numFmtId="10" fontId="0" fillId="0" borderId="15" xfId="0" applyNumberFormat="1" applyBorder="1"/>
    <xf numFmtId="165" fontId="10" fillId="0" borderId="16" xfId="0" applyNumberFormat="1" applyFont="1" applyBorder="1"/>
    <xf numFmtId="0" fontId="0" fillId="0" borderId="0" xfId="0" applyAlignment="1">
      <alignment horizontal="left"/>
    </xf>
    <xf numFmtId="0" fontId="11" fillId="0" borderId="0" xfId="0" quotePrefix="1" applyFont="1" applyAlignment="1">
      <alignment vertical="center"/>
    </xf>
    <xf numFmtId="0" fontId="0" fillId="0" borderId="0" xfId="0" applyFill="1" applyAlignment="1">
      <alignment vertical="center"/>
    </xf>
    <xf numFmtId="0" fontId="11" fillId="0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165" fontId="0" fillId="2" borderId="10" xfId="0" applyNumberFormat="1" applyFill="1" applyBorder="1"/>
    <xf numFmtId="165" fontId="12" fillId="2" borderId="15" xfId="0" applyNumberFormat="1" applyFont="1" applyFill="1" applyBorder="1"/>
    <xf numFmtId="165" fontId="10" fillId="0" borderId="0" xfId="0" applyNumberFormat="1" applyFont="1" applyFill="1"/>
    <xf numFmtId="1" fontId="0" fillId="2" borderId="0" xfId="0" applyNumberFormat="1" applyFill="1"/>
    <xf numFmtId="0" fontId="8" fillId="0" borderId="0" xfId="0" applyFont="1" applyFill="1" applyAlignment="1">
      <alignment horizontal="left"/>
    </xf>
    <xf numFmtId="0" fontId="11" fillId="0" borderId="0" xfId="0" applyFont="1"/>
    <xf numFmtId="0" fontId="14" fillId="3" borderId="5" xfId="0" applyFont="1" applyFill="1" applyBorder="1" applyAlignment="1">
      <alignment horizontal="center" vertical="center"/>
    </xf>
    <xf numFmtId="0" fontId="14" fillId="3" borderId="5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/>
  </cellXfs>
  <cellStyles count="8">
    <cellStyle name="Body: normal cell" xfId="5" xr:uid="{00000000-0005-0000-0000-000000000000}"/>
    <cellStyle name="Font: Calibri, 9pt regular" xfId="2" xr:uid="{00000000-0005-0000-0000-000001000000}"/>
    <cellStyle name="Footnotes: top row" xfId="7" xr:uid="{00000000-0005-0000-0000-000002000000}"/>
    <cellStyle name="Header: bottom row" xfId="3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4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1104900</xdr:colOff>
      <xdr:row>10</xdr:row>
      <xdr:rowOff>28575</xdr:rowOff>
    </xdr:from>
    <xdr:to>
      <xdr:col>2</xdr:col>
      <xdr:colOff>1096066</xdr:colOff>
      <xdr:row>16</xdr:row>
      <xdr:rowOff>133540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05D5552-3B77-4490-9A15-92A0D9CF8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" y="2124075"/>
          <a:ext cx="4953691" cy="13622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114300</xdr:colOff>
      <xdr:row>6</xdr:row>
      <xdr:rowOff>200025</xdr:rowOff>
    </xdr:from>
    <xdr:to>
      <xdr:col>16</xdr:col>
      <xdr:colOff>750</xdr:colOff>
      <xdr:row>22</xdr:row>
      <xdr:rowOff>38545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0B4BAF8-B289-404E-8E63-D3523034E5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0700" y="1666875"/>
          <a:ext cx="5372850" cy="319132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8</xdr:row>
      <xdr:rowOff>66675</xdr:rowOff>
    </xdr:from>
    <xdr:to>
      <xdr:col>8</xdr:col>
      <xdr:colOff>38860</xdr:colOff>
      <xdr:row>21</xdr:row>
      <xdr:rowOff>152792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51E29E9-C355-4F0F-8C7F-5E9E072E8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1952625"/>
          <a:ext cx="5449060" cy="2810267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29</xdr:row>
      <xdr:rowOff>114300</xdr:rowOff>
    </xdr:from>
    <xdr:to>
      <xdr:col>6</xdr:col>
      <xdr:colOff>314925</xdr:colOff>
      <xdr:row>45</xdr:row>
      <xdr:rowOff>152873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5E8204A-4641-4627-A4FB-A4B034BFC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" y="6400800"/>
          <a:ext cx="4296375" cy="33913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61</xdr:row>
      <xdr:rowOff>104775</xdr:rowOff>
    </xdr:from>
    <xdr:to>
      <xdr:col>5</xdr:col>
      <xdr:colOff>295877</xdr:colOff>
      <xdr:row>71</xdr:row>
      <xdr:rowOff>133646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687D874-4722-40E4-BEC6-BF1AFCF67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3001625"/>
          <a:ext cx="4315427" cy="21243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rena.org/Statistics/View-Data-by-Topic/Costs/Global-Trends" TargetMode="External"/><Relationship Id="rId3" Type="http://schemas.openxmlformats.org/officeDocument/2006/relationships/hyperlink" Target="https://kosis.kr/statHtml/statHtml.do?orgId=339&amp;tblId=DT_F_M110" TargetMode="External"/><Relationship Id="rId7" Type="http://schemas.openxmlformats.org/officeDocument/2006/relationships/hyperlink" Target="https://www.irena.org/-/media/files/irena/agency/publication/2019/oct/irena_future_of_wind_2019.pdf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jct.gov/publications.html?func=download&amp;id=4663&amp;chk=4663&amp;no_html=1" TargetMode="External"/><Relationship Id="rId1" Type="http://schemas.openxmlformats.org/officeDocument/2006/relationships/hyperlink" Target="https://www.greentechmedia.com/articles/read/solar-and-wind-tax-credit-extensions-energy-rd-package-in-spending-bill-before-congress" TargetMode="External"/><Relationship Id="rId6" Type="http://schemas.openxmlformats.org/officeDocument/2006/relationships/hyperlink" Target="https://irena.org/-/media/Files/IRENA/Agency/Publication/2019/Nov/IRENA_Future_of_Solar_PV_2019.pdf" TargetMode="External"/><Relationship Id="rId11" Type="http://schemas.openxmlformats.org/officeDocument/2006/relationships/hyperlink" Target="https://www.index.go.kr/potal/main/EachDtlPageDetail.do?idx_cd=1339" TargetMode="External"/><Relationship Id="rId5" Type="http://schemas.openxmlformats.org/officeDocument/2006/relationships/hyperlink" Target="https://kosis.kr/statHtml/statHtml.do?orgId=388&amp;tblId=TX_38803_A000A" TargetMode="External"/><Relationship Id="rId10" Type="http://schemas.openxmlformats.org/officeDocument/2006/relationships/hyperlink" Target="https://glaw.scourt.go.kr/wsjo/lawod/sjo192.do?lawodNm=%EC%A1%B0%EC%84%B8%ED%8A%B9%EB%A1%80%EC%A0%9C%ED%95%9C%EB%B2%95&amp;jomunNo=24&amp;jomunGajiNo=" TargetMode="External"/><Relationship Id="rId4" Type="http://schemas.openxmlformats.org/officeDocument/2006/relationships/hyperlink" Target="https://www.nabo.go.kr/system/common/JSPservlet/download.jsp?fCode=33315609&amp;fSHC=&amp;fName=%EB%AF%B8%EC%84%B8%EB%A8%BC%EC%A7%80+%EB%8C%80%EC%9D%91+%EC%82%AC%EC%97%85+%EB%B6%84%EC%84%9D.pdf&amp;fMime=application/pdf&amp;fBid=19&amp;flag=bluenet" TargetMode="External"/><Relationship Id="rId9" Type="http://schemas.openxmlformats.org/officeDocument/2006/relationships/hyperlink" Target="https://www.irena.org/-/media/Files/IRENA/Agency/Publication/2016/IRENA_Power_to_Change_201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2"/>
  <sheetViews>
    <sheetView tabSelected="1" topLeftCell="A67" zoomScale="104" zoomScaleNormal="85" workbookViewId="0"/>
  </sheetViews>
  <sheetFormatPr defaultColWidth="9" defaultRowHeight="15"/>
  <cols>
    <col min="1" max="16384" width="9" style="21"/>
  </cols>
  <sheetData>
    <row r="1" spans="1:6">
      <c r="A1" s="30" t="s">
        <v>96</v>
      </c>
    </row>
    <row r="2" spans="1:6">
      <c r="A2" s="30" t="s">
        <v>95</v>
      </c>
    </row>
    <row r="3" spans="1:6">
      <c r="A3" s="30" t="s">
        <v>62</v>
      </c>
    </row>
    <row r="5" spans="1:6">
      <c r="A5" s="30" t="s">
        <v>0</v>
      </c>
      <c r="B5" s="57" t="s">
        <v>238</v>
      </c>
      <c r="C5" s="56"/>
      <c r="D5" s="56"/>
      <c r="E5" s="56"/>
      <c r="F5" s="56"/>
    </row>
    <row r="6" spans="1:6">
      <c r="A6" s="30"/>
      <c r="B6" s="32" t="s">
        <v>239</v>
      </c>
    </row>
    <row r="7" spans="1:6">
      <c r="A7" s="30"/>
      <c r="B7" s="32">
        <v>2019</v>
      </c>
    </row>
    <row r="8" spans="1:6">
      <c r="A8" s="30"/>
      <c r="B8" s="32" t="s">
        <v>240</v>
      </c>
    </row>
    <row r="9" spans="1:6">
      <c r="A9" s="30"/>
      <c r="B9" s="51" t="s">
        <v>130</v>
      </c>
    </row>
    <row r="10" spans="1:6">
      <c r="A10" s="30"/>
      <c r="B10" s="32" t="s">
        <v>131</v>
      </c>
    </row>
    <row r="11" spans="1:6">
      <c r="A11" s="30"/>
      <c r="B11" s="32"/>
    </row>
    <row r="12" spans="1:6">
      <c r="A12" s="30"/>
      <c r="B12" s="57" t="s">
        <v>241</v>
      </c>
      <c r="C12" s="56"/>
      <c r="D12" s="56"/>
      <c r="E12" s="56"/>
      <c r="F12" s="56"/>
    </row>
    <row r="13" spans="1:6">
      <c r="A13" s="30"/>
      <c r="B13" s="32" t="s">
        <v>242</v>
      </c>
    </row>
    <row r="14" spans="1:6">
      <c r="A14" s="30"/>
      <c r="B14" s="32">
        <v>2021</v>
      </c>
    </row>
    <row r="15" spans="1:6">
      <c r="A15" s="30"/>
      <c r="B15" s="32" t="s">
        <v>243</v>
      </c>
    </row>
    <row r="16" spans="1:6">
      <c r="A16" s="30"/>
      <c r="B16" s="51" t="s">
        <v>224</v>
      </c>
    </row>
    <row r="17" spans="1:6">
      <c r="A17" s="30"/>
      <c r="B17" s="32"/>
    </row>
    <row r="18" spans="1:6">
      <c r="A18" s="30"/>
      <c r="B18" s="32" t="s">
        <v>134</v>
      </c>
      <c r="C18" s="107"/>
      <c r="D18" s="107"/>
      <c r="F18" s="107"/>
    </row>
    <row r="19" spans="1:6">
      <c r="A19" s="30"/>
      <c r="B19" s="32">
        <v>2020</v>
      </c>
    </row>
    <row r="20" spans="1:6">
      <c r="A20" s="30"/>
      <c r="B20" s="108" t="s">
        <v>244</v>
      </c>
    </row>
    <row r="21" spans="1:6">
      <c r="A21" s="30"/>
      <c r="B21" s="51" t="s">
        <v>133</v>
      </c>
    </row>
    <row r="22" spans="1:6">
      <c r="A22" s="30"/>
    </row>
    <row r="23" spans="1:6">
      <c r="A23" s="30"/>
      <c r="B23" s="57" t="s">
        <v>245</v>
      </c>
      <c r="C23" s="56"/>
      <c r="D23" s="56"/>
      <c r="E23" s="56"/>
      <c r="F23" s="56"/>
    </row>
    <row r="24" spans="1:6">
      <c r="A24" s="30"/>
      <c r="B24" s="32" t="s">
        <v>192</v>
      </c>
    </row>
    <row r="25" spans="1:6">
      <c r="A25" s="30"/>
      <c r="B25" s="32">
        <v>2019</v>
      </c>
    </row>
    <row r="26" spans="1:6">
      <c r="A26" s="30"/>
      <c r="B26" s="32" t="s">
        <v>193</v>
      </c>
    </row>
    <row r="27" spans="1:6">
      <c r="A27" s="30"/>
      <c r="B27" s="51" t="s">
        <v>107</v>
      </c>
    </row>
    <row r="28" spans="1:6">
      <c r="A28" s="30"/>
      <c r="B28" s="51"/>
    </row>
    <row r="29" spans="1:6">
      <c r="A29" s="30"/>
      <c r="B29" s="58" t="s">
        <v>247</v>
      </c>
      <c r="C29" s="56"/>
      <c r="D29" s="56"/>
      <c r="E29" s="56"/>
      <c r="F29" s="56"/>
    </row>
    <row r="30" spans="1:6">
      <c r="A30" s="53"/>
      <c r="B30" s="54" t="s">
        <v>192</v>
      </c>
    </row>
    <row r="31" spans="1:6">
      <c r="A31" s="53"/>
      <c r="B31" s="54">
        <v>2019</v>
      </c>
    </row>
    <row r="32" spans="1:6">
      <c r="A32" s="30"/>
      <c r="B32" s="52" t="s">
        <v>199</v>
      </c>
    </row>
    <row r="33" spans="1:6">
      <c r="A33" s="30"/>
      <c r="B33" s="51" t="s">
        <v>194</v>
      </c>
    </row>
    <row r="34" spans="1:6">
      <c r="A34" s="30"/>
      <c r="B34" s="52" t="s">
        <v>198</v>
      </c>
    </row>
    <row r="35" spans="1:6">
      <c r="A35" s="30"/>
      <c r="B35" s="32"/>
    </row>
    <row r="36" spans="1:6">
      <c r="A36" s="30"/>
      <c r="B36" s="58" t="s">
        <v>246</v>
      </c>
      <c r="C36" s="56"/>
      <c r="D36" s="56"/>
      <c r="E36" s="56"/>
      <c r="F36" s="56"/>
    </row>
    <row r="37" spans="1:6">
      <c r="A37" s="30"/>
      <c r="B37" s="32" t="s">
        <v>248</v>
      </c>
    </row>
    <row r="38" spans="1:6">
      <c r="B38" s="32" t="s">
        <v>192</v>
      </c>
    </row>
    <row r="39" spans="1:6">
      <c r="B39" s="32">
        <v>2019</v>
      </c>
    </row>
    <row r="40" spans="1:6">
      <c r="A40" s="30"/>
      <c r="B40" s="32" t="s">
        <v>200</v>
      </c>
    </row>
    <row r="41" spans="1:6">
      <c r="A41" s="30"/>
      <c r="B41" s="51" t="s">
        <v>110</v>
      </c>
    </row>
    <row r="42" spans="1:6">
      <c r="A42" s="30"/>
      <c r="B42" s="32" t="s">
        <v>195</v>
      </c>
    </row>
    <row r="43" spans="1:6">
      <c r="A43" s="30"/>
      <c r="B43" s="32"/>
    </row>
    <row r="44" spans="1:6">
      <c r="A44" s="30"/>
      <c r="B44" s="32" t="s">
        <v>249</v>
      </c>
    </row>
    <row r="45" spans="1:6">
      <c r="A45" s="30"/>
      <c r="B45" s="21" t="s">
        <v>201</v>
      </c>
    </row>
    <row r="46" spans="1:6">
      <c r="A46" s="30"/>
      <c r="B46" s="51" t="s">
        <v>108</v>
      </c>
    </row>
    <row r="47" spans="1:6">
      <c r="A47" s="30"/>
      <c r="B47" s="32" t="s">
        <v>196</v>
      </c>
    </row>
    <row r="48" spans="1:6">
      <c r="A48" s="30"/>
    </row>
    <row r="49" spans="1:6">
      <c r="A49" s="30"/>
      <c r="B49" s="57" t="s">
        <v>250</v>
      </c>
      <c r="C49" s="56"/>
      <c r="D49" s="56"/>
      <c r="E49" s="56"/>
      <c r="F49" s="56"/>
    </row>
    <row r="50" spans="1:6">
      <c r="A50" s="30"/>
      <c r="B50" s="32" t="s">
        <v>251</v>
      </c>
    </row>
    <row r="51" spans="1:6">
      <c r="A51" s="30"/>
      <c r="B51" s="32">
        <v>2020</v>
      </c>
    </row>
    <row r="52" spans="1:6">
      <c r="A52" s="30"/>
      <c r="B52" s="105" t="s">
        <v>252</v>
      </c>
    </row>
    <row r="53" spans="1:6">
      <c r="A53" s="30"/>
      <c r="B53" s="32" t="s">
        <v>222</v>
      </c>
    </row>
    <row r="54" spans="1:6">
      <c r="A54" s="30"/>
      <c r="B54" s="32" t="s">
        <v>230</v>
      </c>
    </row>
    <row r="55" spans="1:6">
      <c r="A55" s="30"/>
    </row>
    <row r="56" spans="1:6">
      <c r="A56" s="30"/>
      <c r="B56" s="57" t="s">
        <v>253</v>
      </c>
      <c r="C56" s="56"/>
      <c r="D56" s="56"/>
      <c r="E56" s="56"/>
      <c r="F56" s="56"/>
    </row>
    <row r="57" spans="1:6">
      <c r="A57" s="30"/>
      <c r="B57" s="32" t="s">
        <v>251</v>
      </c>
    </row>
    <row r="58" spans="1:6">
      <c r="A58" s="30"/>
      <c r="B58" s="32">
        <v>2019</v>
      </c>
    </row>
    <row r="59" spans="1:6">
      <c r="A59" s="30"/>
      <c r="B59" s="105" t="s">
        <v>254</v>
      </c>
    </row>
    <row r="60" spans="1:6">
      <c r="A60" s="30"/>
      <c r="B60" s="32" t="s">
        <v>221</v>
      </c>
    </row>
    <row r="61" spans="1:6">
      <c r="A61" s="30"/>
      <c r="B61" s="32" t="s">
        <v>231</v>
      </c>
    </row>
    <row r="62" spans="1:6">
      <c r="A62" s="30"/>
    </row>
    <row r="63" spans="1:6">
      <c r="A63" s="30"/>
      <c r="B63" s="59" t="s">
        <v>255</v>
      </c>
      <c r="C63" s="56"/>
      <c r="D63" s="56"/>
      <c r="E63" s="56"/>
      <c r="F63" s="56"/>
    </row>
    <row r="64" spans="1:6">
      <c r="A64" s="30"/>
      <c r="B64" s="21" t="s">
        <v>256</v>
      </c>
    </row>
    <row r="65" spans="1:2">
      <c r="A65" s="30"/>
      <c r="B65" s="31" t="s">
        <v>223</v>
      </c>
    </row>
    <row r="66" spans="1:2">
      <c r="A66" s="30"/>
    </row>
    <row r="67" spans="1:2">
      <c r="A67" s="30"/>
    </row>
    <row r="68" spans="1:2">
      <c r="A68" s="30" t="s">
        <v>11</v>
      </c>
    </row>
    <row r="69" spans="1:2">
      <c r="A69" s="21" t="s">
        <v>257</v>
      </c>
    </row>
    <row r="70" spans="1:2">
      <c r="A70" s="31" t="s">
        <v>128</v>
      </c>
      <c r="B70" s="32"/>
    </row>
    <row r="71" spans="1:2">
      <c r="A71" s="33" t="s">
        <v>258</v>
      </c>
      <c r="B71" s="32"/>
    </row>
    <row r="72" spans="1:2">
      <c r="A72" s="33"/>
      <c r="B72" s="32"/>
    </row>
    <row r="73" spans="1:2">
      <c r="A73" s="33" t="s">
        <v>259</v>
      </c>
      <c r="B73" s="32"/>
    </row>
    <row r="74" spans="1:2">
      <c r="A74" s="106" t="s">
        <v>260</v>
      </c>
      <c r="B74" s="32"/>
    </row>
    <row r="75" spans="1:2">
      <c r="B75" s="32"/>
    </row>
    <row r="76" spans="1:2">
      <c r="A76" s="22" t="s">
        <v>236</v>
      </c>
      <c r="B76" s="32"/>
    </row>
    <row r="77" spans="1:2">
      <c r="A77" s="21" t="s">
        <v>261</v>
      </c>
      <c r="B77" s="32"/>
    </row>
    <row r="78" spans="1:2">
      <c r="A78" s="21" t="s">
        <v>262</v>
      </c>
      <c r="B78" s="32"/>
    </row>
    <row r="79" spans="1:2">
      <c r="A79" s="21" t="s">
        <v>263</v>
      </c>
    </row>
    <row r="80" spans="1:2">
      <c r="A80" s="21" t="s">
        <v>264</v>
      </c>
    </row>
    <row r="81" spans="1:3">
      <c r="A81" s="21" t="s">
        <v>265</v>
      </c>
      <c r="B81" s="32"/>
    </row>
    <row r="82" spans="1:3">
      <c r="B82" s="32"/>
    </row>
    <row r="83" spans="1:3">
      <c r="A83" s="21" t="s">
        <v>266</v>
      </c>
      <c r="B83" s="32"/>
    </row>
    <row r="84" spans="1:3">
      <c r="A84" s="21" t="s">
        <v>267</v>
      </c>
      <c r="B84" s="32"/>
    </row>
    <row r="85" spans="1:3">
      <c r="B85" s="32"/>
    </row>
    <row r="86" spans="1:3">
      <c r="A86" s="21" t="s">
        <v>268</v>
      </c>
    </row>
    <row r="88" spans="1:3">
      <c r="A88" s="21" t="s">
        <v>269</v>
      </c>
      <c r="B88" s="32"/>
    </row>
    <row r="89" spans="1:3">
      <c r="B89" s="32"/>
    </row>
    <row r="90" spans="1:3">
      <c r="B90" s="32"/>
    </row>
    <row r="91" spans="1:3">
      <c r="A91" s="60" t="s">
        <v>202</v>
      </c>
      <c r="B91" s="21">
        <v>1179.9000000000001</v>
      </c>
    </row>
    <row r="92" spans="1:3">
      <c r="A92" s="60" t="s">
        <v>123</v>
      </c>
      <c r="B92" s="21">
        <v>1000</v>
      </c>
      <c r="C92" s="21" t="s">
        <v>124</v>
      </c>
    </row>
  </sheetData>
  <phoneticPr fontId="9" type="noConversion"/>
  <hyperlinks>
    <hyperlink ref="B128" r:id="rId1" location=":~:text=According%20to%20a%20summary%20shared,would%20have%20under%20existing%20law." display="https://www.greentechmedia.com/articles/read/solar-and-wind-tax-credit-extensions-energy-rd-package-in-spending-bill-before-congress#:~:text=According%20to%20a%20summary%20shared,would%20have%20under%20existing%20law." xr:uid="{00000000-0004-0000-0000-000001000000}"/>
    <hyperlink ref="B69" r:id="rId2" display="https://www.jct.gov/publications.html?func=download&amp;id=4663&amp;chk=4663&amp;no_html=1" xr:uid="{00000000-0004-0000-0000-000000000000}"/>
    <hyperlink ref="A70" r:id="rId3" xr:uid="{95D84017-787D-4E47-AEE1-A1A1FAA328B7}"/>
    <hyperlink ref="B9" r:id="rId4" xr:uid="{0ED7FAFF-5344-4639-B760-64186C028D87}"/>
    <hyperlink ref="B21" r:id="rId5" xr:uid="{835F7264-CC3C-4CEB-B687-B35A9019794F}"/>
    <hyperlink ref="B41" r:id="rId6" xr:uid="{81EA84AE-0B68-4295-A8EB-934025A833F9}"/>
    <hyperlink ref="B46" r:id="rId7" xr:uid="{936E79BF-65B1-4A78-B986-A1CB9882019B}"/>
    <hyperlink ref="B27" r:id="rId8" xr:uid="{466C0019-277C-42AA-899C-DBC7F4AC9F7F}"/>
    <hyperlink ref="B33" r:id="rId9" xr:uid="{967E3E31-ADF3-4299-A81B-BF7F2A8BF6E6}"/>
    <hyperlink ref="B65" r:id="rId10" xr:uid="{C48099E1-E8D6-4A83-8234-7D8600BAE002}"/>
    <hyperlink ref="B16" r:id="rId11" xr:uid="{09ADA0F2-EF43-48BC-B3B8-BDEAB3E72A88}"/>
  </hyperlinks>
  <pageMargins left="0.7" right="0.7" top="0.75" bottom="0.75" header="0.3" footer="0.3"/>
  <pageSetup orientation="portrait" horizontalDpi="1200" verticalDpi="1200" r:id="rId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F59BE-89B8-4B85-A37D-D6FD2097D282}">
  <sheetPr>
    <tabColor theme="3"/>
  </sheetPr>
  <dimension ref="A1:AH17"/>
  <sheetViews>
    <sheetView workbookViewId="0">
      <selection activeCell="J35" sqref="J35"/>
    </sheetView>
  </sheetViews>
  <sheetFormatPr defaultColWidth="8.85546875" defaultRowHeight="15"/>
  <cols>
    <col min="1" max="1" width="32.42578125" style="24" customWidth="1"/>
    <col min="2" max="2" width="9.85546875" style="24" bestFit="1" customWidth="1"/>
    <col min="3" max="16384" width="8.85546875" style="24"/>
  </cols>
  <sheetData>
    <row r="1" spans="1:34">
      <c r="A1" s="24" t="s">
        <v>12</v>
      </c>
      <c r="B1" s="24">
        <v>2020</v>
      </c>
      <c r="C1" s="24">
        <v>2021</v>
      </c>
      <c r="D1" s="24">
        <v>2022</v>
      </c>
      <c r="E1" s="24">
        <v>2023</v>
      </c>
      <c r="F1" s="24">
        <v>2024</v>
      </c>
      <c r="G1" s="24">
        <v>2025</v>
      </c>
      <c r="H1" s="24">
        <v>2026</v>
      </c>
      <c r="I1" s="24">
        <v>2027</v>
      </c>
      <c r="J1" s="24">
        <v>2028</v>
      </c>
      <c r="K1" s="24">
        <v>2029</v>
      </c>
      <c r="L1" s="24">
        <v>2030</v>
      </c>
      <c r="M1" s="24">
        <v>2031</v>
      </c>
      <c r="N1" s="24">
        <v>2032</v>
      </c>
      <c r="O1" s="24">
        <v>2033</v>
      </c>
      <c r="P1" s="24">
        <v>2034</v>
      </c>
      <c r="Q1" s="24">
        <v>2035</v>
      </c>
      <c r="R1" s="24">
        <v>2036</v>
      </c>
      <c r="S1" s="24">
        <v>2037</v>
      </c>
      <c r="T1" s="24">
        <v>2038</v>
      </c>
      <c r="U1" s="24">
        <v>2039</v>
      </c>
      <c r="V1" s="24">
        <v>2040</v>
      </c>
      <c r="W1" s="24">
        <v>2041</v>
      </c>
      <c r="X1" s="24">
        <v>2042</v>
      </c>
      <c r="Y1" s="24">
        <v>2043</v>
      </c>
      <c r="Z1" s="24">
        <v>2044</v>
      </c>
      <c r="AA1" s="24">
        <v>2045</v>
      </c>
      <c r="AB1" s="24">
        <v>2046</v>
      </c>
      <c r="AC1" s="24">
        <v>2047</v>
      </c>
      <c r="AD1" s="24">
        <v>2048</v>
      </c>
      <c r="AE1" s="24">
        <v>2049</v>
      </c>
      <c r="AF1" s="24">
        <v>2050</v>
      </c>
    </row>
    <row r="2" spans="1:34">
      <c r="A2" s="2" t="s">
        <v>37</v>
      </c>
      <c r="B2" s="8">
        <f>'Subsidies Paid'!G3/'Subsidies Paid'!N17</f>
        <v>8.5263156814663673E-3</v>
      </c>
      <c r="C2" s="8">
        <f>B2</f>
        <v>8.5263156814663673E-3</v>
      </c>
      <c r="D2" s="8">
        <f t="shared" ref="D2:AF2" si="0">C2</f>
        <v>8.5263156814663673E-3</v>
      </c>
      <c r="E2" s="8">
        <f t="shared" si="0"/>
        <v>8.5263156814663673E-3</v>
      </c>
      <c r="F2" s="8">
        <f t="shared" si="0"/>
        <v>8.5263156814663673E-3</v>
      </c>
      <c r="G2" s="8">
        <f t="shared" si="0"/>
        <v>8.5263156814663673E-3</v>
      </c>
      <c r="H2" s="8">
        <f t="shared" si="0"/>
        <v>8.5263156814663673E-3</v>
      </c>
      <c r="I2" s="8">
        <f t="shared" si="0"/>
        <v>8.5263156814663673E-3</v>
      </c>
      <c r="J2" s="8">
        <f t="shared" si="0"/>
        <v>8.5263156814663673E-3</v>
      </c>
      <c r="K2" s="8">
        <f t="shared" si="0"/>
        <v>8.5263156814663673E-3</v>
      </c>
      <c r="L2" s="8">
        <f t="shared" si="0"/>
        <v>8.5263156814663673E-3</v>
      </c>
      <c r="M2" s="8">
        <f t="shared" si="0"/>
        <v>8.5263156814663673E-3</v>
      </c>
      <c r="N2" s="8">
        <f t="shared" si="0"/>
        <v>8.5263156814663673E-3</v>
      </c>
      <c r="O2" s="8">
        <f t="shared" si="0"/>
        <v>8.5263156814663673E-3</v>
      </c>
      <c r="P2" s="8">
        <f t="shared" si="0"/>
        <v>8.5263156814663673E-3</v>
      </c>
      <c r="Q2" s="8">
        <f t="shared" si="0"/>
        <v>8.5263156814663673E-3</v>
      </c>
      <c r="R2" s="8">
        <f t="shared" si="0"/>
        <v>8.5263156814663673E-3</v>
      </c>
      <c r="S2" s="8">
        <f t="shared" si="0"/>
        <v>8.5263156814663673E-3</v>
      </c>
      <c r="T2" s="8">
        <f t="shared" si="0"/>
        <v>8.5263156814663673E-3</v>
      </c>
      <c r="U2" s="8">
        <f t="shared" si="0"/>
        <v>8.5263156814663673E-3</v>
      </c>
      <c r="V2" s="8">
        <f t="shared" si="0"/>
        <v>8.5263156814663673E-3</v>
      </c>
      <c r="W2" s="8">
        <f t="shared" si="0"/>
        <v>8.5263156814663673E-3</v>
      </c>
      <c r="X2" s="8">
        <f t="shared" si="0"/>
        <v>8.5263156814663673E-3</v>
      </c>
      <c r="Y2" s="8">
        <f t="shared" si="0"/>
        <v>8.5263156814663673E-3</v>
      </c>
      <c r="Z2" s="8">
        <f t="shared" si="0"/>
        <v>8.5263156814663673E-3</v>
      </c>
      <c r="AA2" s="8">
        <f t="shared" si="0"/>
        <v>8.5263156814663673E-3</v>
      </c>
      <c r="AB2" s="8">
        <f t="shared" si="0"/>
        <v>8.5263156814663673E-3</v>
      </c>
      <c r="AC2" s="8">
        <f t="shared" si="0"/>
        <v>8.5263156814663673E-3</v>
      </c>
      <c r="AD2" s="8">
        <f t="shared" si="0"/>
        <v>8.5263156814663673E-3</v>
      </c>
      <c r="AE2" s="8">
        <f t="shared" si="0"/>
        <v>8.5263156814663673E-3</v>
      </c>
      <c r="AF2" s="8">
        <f t="shared" si="0"/>
        <v>8.5263156814663673E-3</v>
      </c>
      <c r="AG2" s="8"/>
      <c r="AH2" s="8"/>
    </row>
    <row r="3" spans="1:34">
      <c r="A3" s="2" t="s">
        <v>29</v>
      </c>
      <c r="B3" s="24">
        <v>0</v>
      </c>
      <c r="C3" s="24">
        <v>0</v>
      </c>
      <c r="D3" s="24">
        <v>0</v>
      </c>
      <c r="E3" s="24">
        <v>0</v>
      </c>
      <c r="F3" s="24">
        <v>0</v>
      </c>
      <c r="G3" s="24">
        <v>0</v>
      </c>
      <c r="H3" s="24">
        <v>0</v>
      </c>
      <c r="I3" s="24">
        <v>0</v>
      </c>
      <c r="J3" s="24">
        <v>0</v>
      </c>
      <c r="K3" s="24">
        <v>0</v>
      </c>
      <c r="L3" s="24">
        <v>0</v>
      </c>
      <c r="M3" s="24">
        <v>0</v>
      </c>
      <c r="N3" s="24">
        <v>0</v>
      </c>
      <c r="O3" s="24">
        <v>0</v>
      </c>
      <c r="P3" s="24">
        <v>0</v>
      </c>
      <c r="Q3" s="24">
        <v>0</v>
      </c>
      <c r="R3" s="24">
        <v>0</v>
      </c>
      <c r="S3" s="24">
        <v>0</v>
      </c>
      <c r="T3" s="24">
        <v>0</v>
      </c>
      <c r="U3" s="24">
        <v>0</v>
      </c>
      <c r="V3" s="24">
        <v>0</v>
      </c>
      <c r="W3" s="24">
        <v>0</v>
      </c>
      <c r="X3" s="24">
        <v>0</v>
      </c>
      <c r="Y3" s="24">
        <v>0</v>
      </c>
      <c r="Z3" s="24">
        <v>0</v>
      </c>
      <c r="AA3" s="24">
        <v>0</v>
      </c>
      <c r="AB3" s="24">
        <v>0</v>
      </c>
      <c r="AC3" s="24">
        <v>0</v>
      </c>
      <c r="AD3" s="24">
        <v>0</v>
      </c>
      <c r="AE3" s="24">
        <v>0</v>
      </c>
      <c r="AF3" s="24">
        <v>0</v>
      </c>
    </row>
    <row r="4" spans="1:34">
      <c r="A4" s="2" t="s">
        <v>19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8"/>
      <c r="AH4" s="8"/>
    </row>
    <row r="5" spans="1:34">
      <c r="A5" s="2" t="s">
        <v>20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8"/>
      <c r="AH5" s="8"/>
    </row>
    <row r="6" spans="1:34">
      <c r="A6" s="2" t="s">
        <v>38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8"/>
      <c r="AH6" s="8"/>
    </row>
    <row r="7" spans="1:34">
      <c r="A7" s="2" t="s">
        <v>22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/>
      <c r="AH7" s="11"/>
    </row>
    <row r="8" spans="1:34">
      <c r="A8" s="2" t="s">
        <v>23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/>
      <c r="AH8" s="11"/>
    </row>
    <row r="9" spans="1:34">
      <c r="A9" s="2" t="s">
        <v>28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8"/>
      <c r="AH9" s="8"/>
    </row>
    <row r="10" spans="1:34">
      <c r="A10" s="2" t="s">
        <v>31</v>
      </c>
      <c r="B10" s="24">
        <v>0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24">
        <v>0</v>
      </c>
      <c r="T10" s="24">
        <v>0</v>
      </c>
      <c r="U10" s="24">
        <v>0</v>
      </c>
      <c r="V10" s="24">
        <v>0</v>
      </c>
      <c r="W10" s="24">
        <v>0</v>
      </c>
      <c r="X10" s="24">
        <v>0</v>
      </c>
      <c r="Y10" s="24">
        <v>0</v>
      </c>
      <c r="Z10" s="24">
        <v>0</v>
      </c>
      <c r="AA10" s="24">
        <v>0</v>
      </c>
      <c r="AB10" s="24">
        <v>0</v>
      </c>
      <c r="AC10" s="24">
        <v>0</v>
      </c>
      <c r="AD10" s="24">
        <v>0</v>
      </c>
      <c r="AE10" s="24">
        <v>0</v>
      </c>
      <c r="AF10" s="24">
        <v>0</v>
      </c>
    </row>
    <row r="11" spans="1:34">
      <c r="A11" s="2" t="s">
        <v>30</v>
      </c>
      <c r="B11" s="24">
        <v>0</v>
      </c>
      <c r="C11" s="24">
        <v>0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24">
        <v>0</v>
      </c>
      <c r="W11" s="24">
        <v>0</v>
      </c>
      <c r="X11" s="24">
        <v>0</v>
      </c>
      <c r="Y11" s="24">
        <v>0</v>
      </c>
      <c r="Z11" s="24">
        <v>0</v>
      </c>
      <c r="AA11" s="24">
        <v>0</v>
      </c>
      <c r="AB11" s="24">
        <v>0</v>
      </c>
      <c r="AC11" s="24">
        <v>0</v>
      </c>
      <c r="AD11" s="24">
        <v>0</v>
      </c>
      <c r="AE11" s="24">
        <v>0</v>
      </c>
      <c r="AF11" s="24">
        <v>0</v>
      </c>
    </row>
    <row r="12" spans="1:34">
      <c r="A12" s="2" t="s">
        <v>32</v>
      </c>
      <c r="B12" s="24">
        <v>0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4">
        <v>0</v>
      </c>
      <c r="AB12" s="24">
        <v>0</v>
      </c>
      <c r="AC12" s="24">
        <v>0</v>
      </c>
      <c r="AD12" s="24">
        <v>0</v>
      </c>
      <c r="AE12" s="24">
        <v>0</v>
      </c>
      <c r="AF12" s="24">
        <v>0</v>
      </c>
    </row>
    <row r="13" spans="1:34">
      <c r="A13" s="2" t="s">
        <v>34</v>
      </c>
      <c r="B13" s="8">
        <f>B2*'Subsidies Paid'!$G$13</f>
        <v>9.6477023782316778E-5</v>
      </c>
      <c r="C13" s="8">
        <f>B13</f>
        <v>9.6477023782316778E-5</v>
      </c>
      <c r="D13" s="8">
        <f>C13</f>
        <v>9.6477023782316778E-5</v>
      </c>
      <c r="E13" s="8">
        <f>D13</f>
        <v>9.6477023782316778E-5</v>
      </c>
      <c r="F13" s="8">
        <f t="shared" ref="F13:AF13" si="1">E13</f>
        <v>9.6477023782316778E-5</v>
      </c>
      <c r="G13" s="8">
        <f t="shared" si="1"/>
        <v>9.6477023782316778E-5</v>
      </c>
      <c r="H13" s="8">
        <f t="shared" si="1"/>
        <v>9.6477023782316778E-5</v>
      </c>
      <c r="I13" s="8">
        <f t="shared" si="1"/>
        <v>9.6477023782316778E-5</v>
      </c>
      <c r="J13" s="8">
        <f t="shared" si="1"/>
        <v>9.6477023782316778E-5</v>
      </c>
      <c r="K13" s="8">
        <f t="shared" si="1"/>
        <v>9.6477023782316778E-5</v>
      </c>
      <c r="L13" s="8">
        <f t="shared" si="1"/>
        <v>9.6477023782316778E-5</v>
      </c>
      <c r="M13" s="8">
        <f t="shared" si="1"/>
        <v>9.6477023782316778E-5</v>
      </c>
      <c r="N13" s="8">
        <f t="shared" si="1"/>
        <v>9.6477023782316778E-5</v>
      </c>
      <c r="O13" s="8">
        <f t="shared" si="1"/>
        <v>9.6477023782316778E-5</v>
      </c>
      <c r="P13" s="8">
        <f t="shared" si="1"/>
        <v>9.6477023782316778E-5</v>
      </c>
      <c r="Q13" s="8">
        <f t="shared" si="1"/>
        <v>9.6477023782316778E-5</v>
      </c>
      <c r="R13" s="8">
        <f t="shared" si="1"/>
        <v>9.6477023782316778E-5</v>
      </c>
      <c r="S13" s="8">
        <f t="shared" si="1"/>
        <v>9.6477023782316778E-5</v>
      </c>
      <c r="T13" s="8">
        <f t="shared" si="1"/>
        <v>9.6477023782316778E-5</v>
      </c>
      <c r="U13" s="8">
        <f t="shared" si="1"/>
        <v>9.6477023782316778E-5</v>
      </c>
      <c r="V13" s="8">
        <f t="shared" si="1"/>
        <v>9.6477023782316778E-5</v>
      </c>
      <c r="W13" s="8">
        <f t="shared" si="1"/>
        <v>9.6477023782316778E-5</v>
      </c>
      <c r="X13" s="8">
        <f t="shared" si="1"/>
        <v>9.6477023782316778E-5</v>
      </c>
      <c r="Y13" s="8">
        <f t="shared" si="1"/>
        <v>9.6477023782316778E-5</v>
      </c>
      <c r="Z13" s="8">
        <f t="shared" si="1"/>
        <v>9.6477023782316778E-5</v>
      </c>
      <c r="AA13" s="8">
        <f t="shared" si="1"/>
        <v>9.6477023782316778E-5</v>
      </c>
      <c r="AB13" s="8">
        <f t="shared" si="1"/>
        <v>9.6477023782316778E-5</v>
      </c>
      <c r="AC13" s="8">
        <f t="shared" si="1"/>
        <v>9.6477023782316778E-5</v>
      </c>
      <c r="AD13" s="8">
        <f t="shared" si="1"/>
        <v>9.6477023782316778E-5</v>
      </c>
      <c r="AE13" s="8">
        <f t="shared" si="1"/>
        <v>9.6477023782316778E-5</v>
      </c>
      <c r="AF13" s="8">
        <f t="shared" si="1"/>
        <v>9.6477023782316778E-5</v>
      </c>
      <c r="AG13" s="8"/>
      <c r="AH13" s="8"/>
    </row>
    <row r="14" spans="1:34">
      <c r="A14" s="2" t="s">
        <v>35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8"/>
      <c r="AH14" s="8"/>
    </row>
    <row r="15" spans="1:34">
      <c r="A15" s="2" t="s">
        <v>57</v>
      </c>
      <c r="B15" s="24">
        <f>B11</f>
        <v>0</v>
      </c>
      <c r="C15" s="24">
        <f t="shared" ref="C15:AF15" si="2">C11</f>
        <v>0</v>
      </c>
      <c r="D15" s="24">
        <f t="shared" si="2"/>
        <v>0</v>
      </c>
      <c r="E15" s="24">
        <f t="shared" si="2"/>
        <v>0</v>
      </c>
      <c r="F15" s="24">
        <f t="shared" si="2"/>
        <v>0</v>
      </c>
      <c r="G15" s="24">
        <f t="shared" si="2"/>
        <v>0</v>
      </c>
      <c r="H15" s="24">
        <f t="shared" si="2"/>
        <v>0</v>
      </c>
      <c r="I15" s="24">
        <f t="shared" si="2"/>
        <v>0</v>
      </c>
      <c r="J15" s="24">
        <f t="shared" si="2"/>
        <v>0</v>
      </c>
      <c r="K15" s="24">
        <f t="shared" si="2"/>
        <v>0</v>
      </c>
      <c r="L15" s="24">
        <f t="shared" si="2"/>
        <v>0</v>
      </c>
      <c r="M15" s="24">
        <f t="shared" si="2"/>
        <v>0</v>
      </c>
      <c r="N15" s="24">
        <f t="shared" si="2"/>
        <v>0</v>
      </c>
      <c r="O15" s="24">
        <f t="shared" si="2"/>
        <v>0</v>
      </c>
      <c r="P15" s="24">
        <f t="shared" si="2"/>
        <v>0</v>
      </c>
      <c r="Q15" s="24">
        <f t="shared" si="2"/>
        <v>0</v>
      </c>
      <c r="R15" s="24">
        <f t="shared" si="2"/>
        <v>0</v>
      </c>
      <c r="S15" s="24">
        <f t="shared" si="2"/>
        <v>0</v>
      </c>
      <c r="T15" s="24">
        <f t="shared" si="2"/>
        <v>0</v>
      </c>
      <c r="U15" s="24">
        <f t="shared" si="2"/>
        <v>0</v>
      </c>
      <c r="V15" s="24">
        <f t="shared" si="2"/>
        <v>0</v>
      </c>
      <c r="W15" s="24">
        <f t="shared" si="2"/>
        <v>0</v>
      </c>
      <c r="X15" s="24">
        <f t="shared" si="2"/>
        <v>0</v>
      </c>
      <c r="Y15" s="24">
        <f t="shared" si="2"/>
        <v>0</v>
      </c>
      <c r="Z15" s="24">
        <f t="shared" si="2"/>
        <v>0</v>
      </c>
      <c r="AA15" s="24">
        <f t="shared" si="2"/>
        <v>0</v>
      </c>
      <c r="AB15" s="24">
        <f t="shared" si="2"/>
        <v>0</v>
      </c>
      <c r="AC15" s="24">
        <f t="shared" si="2"/>
        <v>0</v>
      </c>
      <c r="AD15" s="24">
        <f t="shared" si="2"/>
        <v>0</v>
      </c>
      <c r="AE15" s="24">
        <f t="shared" si="2"/>
        <v>0</v>
      </c>
      <c r="AF15" s="24">
        <f t="shared" si="2"/>
        <v>0</v>
      </c>
    </row>
    <row r="16" spans="1:34">
      <c r="A16" s="2" t="s">
        <v>58</v>
      </c>
      <c r="B16" s="24">
        <f>B11</f>
        <v>0</v>
      </c>
      <c r="C16" s="24">
        <f t="shared" ref="C16:AF16" si="3">C11</f>
        <v>0</v>
      </c>
      <c r="D16" s="24">
        <f t="shared" si="3"/>
        <v>0</v>
      </c>
      <c r="E16" s="24">
        <f t="shared" si="3"/>
        <v>0</v>
      </c>
      <c r="F16" s="24">
        <f t="shared" si="3"/>
        <v>0</v>
      </c>
      <c r="G16" s="24">
        <f t="shared" si="3"/>
        <v>0</v>
      </c>
      <c r="H16" s="24">
        <f t="shared" si="3"/>
        <v>0</v>
      </c>
      <c r="I16" s="24">
        <f t="shared" si="3"/>
        <v>0</v>
      </c>
      <c r="J16" s="24">
        <f t="shared" si="3"/>
        <v>0</v>
      </c>
      <c r="K16" s="24">
        <f t="shared" si="3"/>
        <v>0</v>
      </c>
      <c r="L16" s="24">
        <f t="shared" si="3"/>
        <v>0</v>
      </c>
      <c r="M16" s="24">
        <f t="shared" si="3"/>
        <v>0</v>
      </c>
      <c r="N16" s="24">
        <f t="shared" si="3"/>
        <v>0</v>
      </c>
      <c r="O16" s="24">
        <f t="shared" si="3"/>
        <v>0</v>
      </c>
      <c r="P16" s="24">
        <f t="shared" si="3"/>
        <v>0</v>
      </c>
      <c r="Q16" s="24">
        <f t="shared" si="3"/>
        <v>0</v>
      </c>
      <c r="R16" s="24">
        <f t="shared" si="3"/>
        <v>0</v>
      </c>
      <c r="S16" s="24">
        <f t="shared" si="3"/>
        <v>0</v>
      </c>
      <c r="T16" s="24">
        <f t="shared" si="3"/>
        <v>0</v>
      </c>
      <c r="U16" s="24">
        <f t="shared" si="3"/>
        <v>0</v>
      </c>
      <c r="V16" s="24">
        <f t="shared" si="3"/>
        <v>0</v>
      </c>
      <c r="W16" s="24">
        <f t="shared" si="3"/>
        <v>0</v>
      </c>
      <c r="X16" s="24">
        <f t="shared" si="3"/>
        <v>0</v>
      </c>
      <c r="Y16" s="24">
        <f t="shared" si="3"/>
        <v>0</v>
      </c>
      <c r="Z16" s="24">
        <f t="shared" si="3"/>
        <v>0</v>
      </c>
      <c r="AA16" s="24">
        <f t="shared" si="3"/>
        <v>0</v>
      </c>
      <c r="AB16" s="24">
        <f t="shared" si="3"/>
        <v>0</v>
      </c>
      <c r="AC16" s="24">
        <f t="shared" si="3"/>
        <v>0</v>
      </c>
      <c r="AD16" s="24">
        <f t="shared" si="3"/>
        <v>0</v>
      </c>
      <c r="AE16" s="24">
        <f t="shared" si="3"/>
        <v>0</v>
      </c>
      <c r="AF16" s="24">
        <f t="shared" si="3"/>
        <v>0</v>
      </c>
    </row>
    <row r="17" spans="1:32">
      <c r="A17" s="2" t="s">
        <v>59</v>
      </c>
      <c r="B17" s="24">
        <v>0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  <c r="V17" s="24">
        <v>0</v>
      </c>
      <c r="W17" s="24">
        <v>0</v>
      </c>
      <c r="X17" s="24">
        <v>0</v>
      </c>
      <c r="Y17" s="24">
        <v>0</v>
      </c>
      <c r="Z17" s="24">
        <v>0</v>
      </c>
      <c r="AA17" s="24">
        <v>0</v>
      </c>
      <c r="AB17" s="24">
        <v>0</v>
      </c>
      <c r="AC17" s="24">
        <v>0</v>
      </c>
      <c r="AD17" s="24">
        <v>0</v>
      </c>
      <c r="AE17" s="24">
        <v>0</v>
      </c>
      <c r="AF17" s="24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AA03-1902-4294-AFCE-BE650DEE5471}">
  <sheetPr>
    <tabColor theme="3"/>
  </sheetPr>
  <dimension ref="A1:AH17"/>
  <sheetViews>
    <sheetView workbookViewId="0">
      <selection activeCell="M32" sqref="M32"/>
    </sheetView>
  </sheetViews>
  <sheetFormatPr defaultColWidth="8.85546875" defaultRowHeight="15"/>
  <cols>
    <col min="1" max="1" width="32.42578125" style="24" customWidth="1"/>
    <col min="2" max="2" width="9.85546875" style="24" bestFit="1" customWidth="1"/>
    <col min="3" max="16384" width="8.85546875" style="24"/>
  </cols>
  <sheetData>
    <row r="1" spans="1:34">
      <c r="A1" s="24" t="s">
        <v>12</v>
      </c>
      <c r="B1" s="24">
        <v>2020</v>
      </c>
      <c r="C1" s="24">
        <v>2021</v>
      </c>
      <c r="D1" s="24">
        <v>2022</v>
      </c>
      <c r="E1" s="24">
        <v>2023</v>
      </c>
      <c r="F1" s="24">
        <v>2024</v>
      </c>
      <c r="G1" s="24">
        <v>2025</v>
      </c>
      <c r="H1" s="24">
        <v>2026</v>
      </c>
      <c r="I1" s="24">
        <v>2027</v>
      </c>
      <c r="J1" s="24">
        <v>2028</v>
      </c>
      <c r="K1" s="24">
        <v>2029</v>
      </c>
      <c r="L1" s="24">
        <v>2030</v>
      </c>
      <c r="M1" s="24">
        <v>2031</v>
      </c>
      <c r="N1" s="24">
        <v>2032</v>
      </c>
      <c r="O1" s="24">
        <v>2033</v>
      </c>
      <c r="P1" s="24">
        <v>2034</v>
      </c>
      <c r="Q1" s="24">
        <v>2035</v>
      </c>
      <c r="R1" s="24">
        <v>2036</v>
      </c>
      <c r="S1" s="24">
        <v>2037</v>
      </c>
      <c r="T1" s="24">
        <v>2038</v>
      </c>
      <c r="U1" s="24">
        <v>2039</v>
      </c>
      <c r="V1" s="24">
        <v>2040</v>
      </c>
      <c r="W1" s="24">
        <v>2041</v>
      </c>
      <c r="X1" s="24">
        <v>2042</v>
      </c>
      <c r="Y1" s="24">
        <v>2043</v>
      </c>
      <c r="Z1" s="24">
        <v>2044</v>
      </c>
      <c r="AA1" s="24">
        <v>2045</v>
      </c>
      <c r="AB1" s="24">
        <v>2046</v>
      </c>
      <c r="AC1" s="24">
        <v>2047</v>
      </c>
      <c r="AD1" s="24">
        <v>2048</v>
      </c>
      <c r="AE1" s="24">
        <v>2049</v>
      </c>
      <c r="AF1" s="24">
        <v>2050</v>
      </c>
    </row>
    <row r="2" spans="1:34">
      <c r="A2" s="2" t="s">
        <v>37</v>
      </c>
      <c r="B2" s="8">
        <f>'Subsidies Paid'!G3/'Subsidies Paid'!N17</f>
        <v>8.5263156814663673E-3</v>
      </c>
      <c r="C2" s="8">
        <f>B2</f>
        <v>8.5263156814663673E-3</v>
      </c>
      <c r="D2" s="8">
        <f t="shared" ref="D2:AF2" si="0">C2</f>
        <v>8.5263156814663673E-3</v>
      </c>
      <c r="E2" s="8">
        <f t="shared" si="0"/>
        <v>8.5263156814663673E-3</v>
      </c>
      <c r="F2" s="8">
        <f t="shared" si="0"/>
        <v>8.5263156814663673E-3</v>
      </c>
      <c r="G2" s="8">
        <f t="shared" si="0"/>
        <v>8.5263156814663673E-3</v>
      </c>
      <c r="H2" s="8">
        <f t="shared" si="0"/>
        <v>8.5263156814663673E-3</v>
      </c>
      <c r="I2" s="8">
        <f t="shared" si="0"/>
        <v>8.5263156814663673E-3</v>
      </c>
      <c r="J2" s="8">
        <f t="shared" si="0"/>
        <v>8.5263156814663673E-3</v>
      </c>
      <c r="K2" s="8">
        <f t="shared" si="0"/>
        <v>8.5263156814663673E-3</v>
      </c>
      <c r="L2" s="8">
        <f t="shared" si="0"/>
        <v>8.5263156814663673E-3</v>
      </c>
      <c r="M2" s="8">
        <f t="shared" si="0"/>
        <v>8.5263156814663673E-3</v>
      </c>
      <c r="N2" s="8">
        <f t="shared" si="0"/>
        <v>8.5263156814663673E-3</v>
      </c>
      <c r="O2" s="8">
        <f t="shared" si="0"/>
        <v>8.5263156814663673E-3</v>
      </c>
      <c r="P2" s="8">
        <f t="shared" si="0"/>
        <v>8.5263156814663673E-3</v>
      </c>
      <c r="Q2" s="8">
        <f t="shared" si="0"/>
        <v>8.5263156814663673E-3</v>
      </c>
      <c r="R2" s="8">
        <f t="shared" si="0"/>
        <v>8.5263156814663673E-3</v>
      </c>
      <c r="S2" s="8">
        <f t="shared" si="0"/>
        <v>8.5263156814663673E-3</v>
      </c>
      <c r="T2" s="8">
        <f t="shared" si="0"/>
        <v>8.5263156814663673E-3</v>
      </c>
      <c r="U2" s="8">
        <f t="shared" si="0"/>
        <v>8.5263156814663673E-3</v>
      </c>
      <c r="V2" s="8">
        <f t="shared" si="0"/>
        <v>8.5263156814663673E-3</v>
      </c>
      <c r="W2" s="8">
        <f t="shared" si="0"/>
        <v>8.5263156814663673E-3</v>
      </c>
      <c r="X2" s="8">
        <f t="shared" si="0"/>
        <v>8.5263156814663673E-3</v>
      </c>
      <c r="Y2" s="8">
        <f t="shared" si="0"/>
        <v>8.5263156814663673E-3</v>
      </c>
      <c r="Z2" s="8">
        <f t="shared" si="0"/>
        <v>8.5263156814663673E-3</v>
      </c>
      <c r="AA2" s="8">
        <f t="shared" si="0"/>
        <v>8.5263156814663673E-3</v>
      </c>
      <c r="AB2" s="8">
        <f t="shared" si="0"/>
        <v>8.5263156814663673E-3</v>
      </c>
      <c r="AC2" s="8">
        <f t="shared" si="0"/>
        <v>8.5263156814663673E-3</v>
      </c>
      <c r="AD2" s="8">
        <f t="shared" si="0"/>
        <v>8.5263156814663673E-3</v>
      </c>
      <c r="AE2" s="8">
        <f t="shared" si="0"/>
        <v>8.5263156814663673E-3</v>
      </c>
      <c r="AF2" s="8">
        <f t="shared" si="0"/>
        <v>8.5263156814663673E-3</v>
      </c>
      <c r="AG2" s="8"/>
      <c r="AH2" s="8"/>
    </row>
    <row r="3" spans="1:34">
      <c r="A3" s="2" t="s">
        <v>29</v>
      </c>
      <c r="B3" s="24">
        <v>0</v>
      </c>
      <c r="C3" s="24">
        <v>0</v>
      </c>
      <c r="D3" s="24">
        <v>0</v>
      </c>
      <c r="E3" s="24">
        <v>0</v>
      </c>
      <c r="F3" s="24">
        <v>0</v>
      </c>
      <c r="G3" s="24">
        <v>0</v>
      </c>
      <c r="H3" s="24">
        <v>0</v>
      </c>
      <c r="I3" s="24">
        <v>0</v>
      </c>
      <c r="J3" s="24">
        <v>0</v>
      </c>
      <c r="K3" s="24">
        <v>0</v>
      </c>
      <c r="L3" s="24">
        <v>0</v>
      </c>
      <c r="M3" s="24">
        <v>0</v>
      </c>
      <c r="N3" s="24">
        <v>0</v>
      </c>
      <c r="O3" s="24">
        <v>0</v>
      </c>
      <c r="P3" s="24">
        <v>0</v>
      </c>
      <c r="Q3" s="24">
        <v>0</v>
      </c>
      <c r="R3" s="24">
        <v>0</v>
      </c>
      <c r="S3" s="24">
        <v>0</v>
      </c>
      <c r="T3" s="24">
        <v>0</v>
      </c>
      <c r="U3" s="24">
        <v>0</v>
      </c>
      <c r="V3" s="24">
        <v>0</v>
      </c>
      <c r="W3" s="24">
        <v>0</v>
      </c>
      <c r="X3" s="24">
        <v>0</v>
      </c>
      <c r="Y3" s="24">
        <v>0</v>
      </c>
      <c r="Z3" s="24">
        <v>0</v>
      </c>
      <c r="AA3" s="24">
        <v>0</v>
      </c>
      <c r="AB3" s="24">
        <v>0</v>
      </c>
      <c r="AC3" s="24">
        <v>0</v>
      </c>
      <c r="AD3" s="24">
        <v>0</v>
      </c>
      <c r="AE3" s="24">
        <v>0</v>
      </c>
      <c r="AF3" s="24">
        <v>0</v>
      </c>
    </row>
    <row r="4" spans="1:34">
      <c r="A4" s="2" t="s">
        <v>19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8"/>
      <c r="AH4" s="8"/>
    </row>
    <row r="5" spans="1:34">
      <c r="A5" s="2" t="s">
        <v>20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8"/>
      <c r="AH5" s="8"/>
    </row>
    <row r="6" spans="1:34">
      <c r="A6" s="2" t="s">
        <v>38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8"/>
      <c r="AH6" s="8"/>
    </row>
    <row r="7" spans="1:34">
      <c r="A7" s="2" t="s">
        <v>22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/>
      <c r="AH7" s="11"/>
    </row>
    <row r="8" spans="1:34">
      <c r="A8" s="2" t="s">
        <v>23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/>
      <c r="AH8" s="11"/>
    </row>
    <row r="9" spans="1:34">
      <c r="A9" s="2" t="s">
        <v>28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8"/>
      <c r="AH9" s="8"/>
    </row>
    <row r="10" spans="1:34">
      <c r="A10" s="2" t="s">
        <v>31</v>
      </c>
      <c r="B10" s="24">
        <v>0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24">
        <v>0</v>
      </c>
      <c r="T10" s="24">
        <v>0</v>
      </c>
      <c r="U10" s="24">
        <v>0</v>
      </c>
      <c r="V10" s="24">
        <v>0</v>
      </c>
      <c r="W10" s="24">
        <v>0</v>
      </c>
      <c r="X10" s="24">
        <v>0</v>
      </c>
      <c r="Y10" s="24">
        <v>0</v>
      </c>
      <c r="Z10" s="24">
        <v>0</v>
      </c>
      <c r="AA10" s="24">
        <v>0</v>
      </c>
      <c r="AB10" s="24">
        <v>0</v>
      </c>
      <c r="AC10" s="24">
        <v>0</v>
      </c>
      <c r="AD10" s="24">
        <v>0</v>
      </c>
      <c r="AE10" s="24">
        <v>0</v>
      </c>
      <c r="AF10" s="24">
        <v>0</v>
      </c>
    </row>
    <row r="11" spans="1:34">
      <c r="A11" s="2" t="s">
        <v>30</v>
      </c>
      <c r="B11" s="24">
        <v>0</v>
      </c>
      <c r="C11" s="24">
        <v>0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24">
        <v>0</v>
      </c>
      <c r="W11" s="24">
        <v>0</v>
      </c>
      <c r="X11" s="24">
        <v>0</v>
      </c>
      <c r="Y11" s="24">
        <v>0</v>
      </c>
      <c r="Z11" s="24">
        <v>0</v>
      </c>
      <c r="AA11" s="24">
        <v>0</v>
      </c>
      <c r="AB11" s="24">
        <v>0</v>
      </c>
      <c r="AC11" s="24">
        <v>0</v>
      </c>
      <c r="AD11" s="24">
        <v>0</v>
      </c>
      <c r="AE11" s="24">
        <v>0</v>
      </c>
      <c r="AF11" s="24">
        <v>0</v>
      </c>
    </row>
    <row r="12" spans="1:34">
      <c r="A12" s="2" t="s">
        <v>32</v>
      </c>
      <c r="B12" s="24">
        <v>0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4">
        <v>0</v>
      </c>
      <c r="AB12" s="24">
        <v>0</v>
      </c>
      <c r="AC12" s="24">
        <v>0</v>
      </c>
      <c r="AD12" s="24">
        <v>0</v>
      </c>
      <c r="AE12" s="24">
        <v>0</v>
      </c>
      <c r="AF12" s="24">
        <v>0</v>
      </c>
    </row>
    <row r="13" spans="1:34">
      <c r="A13" s="2" t="s">
        <v>34</v>
      </c>
      <c r="B13" s="8">
        <f>B2*'Subsidies Paid'!$G$13</f>
        <v>9.6477023782316778E-5</v>
      </c>
      <c r="C13" s="8">
        <f>B13</f>
        <v>9.6477023782316778E-5</v>
      </c>
      <c r="D13" s="8">
        <f>C13</f>
        <v>9.6477023782316778E-5</v>
      </c>
      <c r="E13" s="8">
        <f>D13</f>
        <v>9.6477023782316778E-5</v>
      </c>
      <c r="F13" s="8">
        <f t="shared" ref="F13:AF13" si="1">E13</f>
        <v>9.6477023782316778E-5</v>
      </c>
      <c r="G13" s="8">
        <f t="shared" si="1"/>
        <v>9.6477023782316778E-5</v>
      </c>
      <c r="H13" s="8">
        <f t="shared" si="1"/>
        <v>9.6477023782316778E-5</v>
      </c>
      <c r="I13" s="8">
        <f t="shared" si="1"/>
        <v>9.6477023782316778E-5</v>
      </c>
      <c r="J13" s="8">
        <f t="shared" si="1"/>
        <v>9.6477023782316778E-5</v>
      </c>
      <c r="K13" s="8">
        <f t="shared" si="1"/>
        <v>9.6477023782316778E-5</v>
      </c>
      <c r="L13" s="8">
        <f t="shared" si="1"/>
        <v>9.6477023782316778E-5</v>
      </c>
      <c r="M13" s="8">
        <f t="shared" si="1"/>
        <v>9.6477023782316778E-5</v>
      </c>
      <c r="N13" s="8">
        <f t="shared" si="1"/>
        <v>9.6477023782316778E-5</v>
      </c>
      <c r="O13" s="8">
        <f t="shared" si="1"/>
        <v>9.6477023782316778E-5</v>
      </c>
      <c r="P13" s="8">
        <f t="shared" si="1"/>
        <v>9.6477023782316778E-5</v>
      </c>
      <c r="Q13" s="8">
        <f t="shared" si="1"/>
        <v>9.6477023782316778E-5</v>
      </c>
      <c r="R13" s="8">
        <f t="shared" si="1"/>
        <v>9.6477023782316778E-5</v>
      </c>
      <c r="S13" s="8">
        <f t="shared" si="1"/>
        <v>9.6477023782316778E-5</v>
      </c>
      <c r="T13" s="8">
        <f t="shared" si="1"/>
        <v>9.6477023782316778E-5</v>
      </c>
      <c r="U13" s="8">
        <f t="shared" si="1"/>
        <v>9.6477023782316778E-5</v>
      </c>
      <c r="V13" s="8">
        <f t="shared" si="1"/>
        <v>9.6477023782316778E-5</v>
      </c>
      <c r="W13" s="8">
        <f t="shared" si="1"/>
        <v>9.6477023782316778E-5</v>
      </c>
      <c r="X13" s="8">
        <f t="shared" si="1"/>
        <v>9.6477023782316778E-5</v>
      </c>
      <c r="Y13" s="8">
        <f t="shared" si="1"/>
        <v>9.6477023782316778E-5</v>
      </c>
      <c r="Z13" s="8">
        <f t="shared" si="1"/>
        <v>9.6477023782316778E-5</v>
      </c>
      <c r="AA13" s="8">
        <f t="shared" si="1"/>
        <v>9.6477023782316778E-5</v>
      </c>
      <c r="AB13" s="8">
        <f t="shared" si="1"/>
        <v>9.6477023782316778E-5</v>
      </c>
      <c r="AC13" s="8">
        <f t="shared" si="1"/>
        <v>9.6477023782316778E-5</v>
      </c>
      <c r="AD13" s="8">
        <f t="shared" si="1"/>
        <v>9.6477023782316778E-5</v>
      </c>
      <c r="AE13" s="8">
        <f t="shared" si="1"/>
        <v>9.6477023782316778E-5</v>
      </c>
      <c r="AF13" s="8">
        <f t="shared" si="1"/>
        <v>9.6477023782316778E-5</v>
      </c>
      <c r="AG13" s="8"/>
      <c r="AH13" s="8"/>
    </row>
    <row r="14" spans="1:34">
      <c r="A14" s="2" t="s">
        <v>35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8"/>
      <c r="AH14" s="8"/>
    </row>
    <row r="15" spans="1:34">
      <c r="A15" s="2" t="s">
        <v>57</v>
      </c>
      <c r="B15" s="24">
        <f>B11</f>
        <v>0</v>
      </c>
      <c r="C15" s="24">
        <f t="shared" ref="C15:AF15" si="2">C11</f>
        <v>0</v>
      </c>
      <c r="D15" s="24">
        <f t="shared" si="2"/>
        <v>0</v>
      </c>
      <c r="E15" s="24">
        <f t="shared" si="2"/>
        <v>0</v>
      </c>
      <c r="F15" s="24">
        <f t="shared" si="2"/>
        <v>0</v>
      </c>
      <c r="G15" s="24">
        <f t="shared" si="2"/>
        <v>0</v>
      </c>
      <c r="H15" s="24">
        <f t="shared" si="2"/>
        <v>0</v>
      </c>
      <c r="I15" s="24">
        <f t="shared" si="2"/>
        <v>0</v>
      </c>
      <c r="J15" s="24">
        <f t="shared" si="2"/>
        <v>0</v>
      </c>
      <c r="K15" s="24">
        <f t="shared" si="2"/>
        <v>0</v>
      </c>
      <c r="L15" s="24">
        <f t="shared" si="2"/>
        <v>0</v>
      </c>
      <c r="M15" s="24">
        <f t="shared" si="2"/>
        <v>0</v>
      </c>
      <c r="N15" s="24">
        <f t="shared" si="2"/>
        <v>0</v>
      </c>
      <c r="O15" s="24">
        <f t="shared" si="2"/>
        <v>0</v>
      </c>
      <c r="P15" s="24">
        <f t="shared" si="2"/>
        <v>0</v>
      </c>
      <c r="Q15" s="24">
        <f t="shared" si="2"/>
        <v>0</v>
      </c>
      <c r="R15" s="24">
        <f t="shared" si="2"/>
        <v>0</v>
      </c>
      <c r="S15" s="24">
        <f t="shared" si="2"/>
        <v>0</v>
      </c>
      <c r="T15" s="24">
        <f t="shared" si="2"/>
        <v>0</v>
      </c>
      <c r="U15" s="24">
        <f t="shared" si="2"/>
        <v>0</v>
      </c>
      <c r="V15" s="24">
        <f t="shared" si="2"/>
        <v>0</v>
      </c>
      <c r="W15" s="24">
        <f t="shared" si="2"/>
        <v>0</v>
      </c>
      <c r="X15" s="24">
        <f t="shared" si="2"/>
        <v>0</v>
      </c>
      <c r="Y15" s="24">
        <f t="shared" si="2"/>
        <v>0</v>
      </c>
      <c r="Z15" s="24">
        <f t="shared" si="2"/>
        <v>0</v>
      </c>
      <c r="AA15" s="24">
        <f t="shared" si="2"/>
        <v>0</v>
      </c>
      <c r="AB15" s="24">
        <f t="shared" si="2"/>
        <v>0</v>
      </c>
      <c r="AC15" s="24">
        <f t="shared" si="2"/>
        <v>0</v>
      </c>
      <c r="AD15" s="24">
        <f t="shared" si="2"/>
        <v>0</v>
      </c>
      <c r="AE15" s="24">
        <f t="shared" si="2"/>
        <v>0</v>
      </c>
      <c r="AF15" s="24">
        <f t="shared" si="2"/>
        <v>0</v>
      </c>
    </row>
    <row r="16" spans="1:34">
      <c r="A16" s="2" t="s">
        <v>58</v>
      </c>
      <c r="B16" s="24">
        <f>B11</f>
        <v>0</v>
      </c>
      <c r="C16" s="24">
        <f t="shared" ref="C16:AF16" si="3">C11</f>
        <v>0</v>
      </c>
      <c r="D16" s="24">
        <f t="shared" si="3"/>
        <v>0</v>
      </c>
      <c r="E16" s="24">
        <f t="shared" si="3"/>
        <v>0</v>
      </c>
      <c r="F16" s="24">
        <f t="shared" si="3"/>
        <v>0</v>
      </c>
      <c r="G16" s="24">
        <f t="shared" si="3"/>
        <v>0</v>
      </c>
      <c r="H16" s="24">
        <f t="shared" si="3"/>
        <v>0</v>
      </c>
      <c r="I16" s="24">
        <f t="shared" si="3"/>
        <v>0</v>
      </c>
      <c r="J16" s="24">
        <f t="shared" si="3"/>
        <v>0</v>
      </c>
      <c r="K16" s="24">
        <f t="shared" si="3"/>
        <v>0</v>
      </c>
      <c r="L16" s="24">
        <f t="shared" si="3"/>
        <v>0</v>
      </c>
      <c r="M16" s="24">
        <f t="shared" si="3"/>
        <v>0</v>
      </c>
      <c r="N16" s="24">
        <f t="shared" si="3"/>
        <v>0</v>
      </c>
      <c r="O16" s="24">
        <f t="shared" si="3"/>
        <v>0</v>
      </c>
      <c r="P16" s="24">
        <f t="shared" si="3"/>
        <v>0</v>
      </c>
      <c r="Q16" s="24">
        <f t="shared" si="3"/>
        <v>0</v>
      </c>
      <c r="R16" s="24">
        <f t="shared" si="3"/>
        <v>0</v>
      </c>
      <c r="S16" s="24">
        <f t="shared" si="3"/>
        <v>0</v>
      </c>
      <c r="T16" s="24">
        <f t="shared" si="3"/>
        <v>0</v>
      </c>
      <c r="U16" s="24">
        <f t="shared" si="3"/>
        <v>0</v>
      </c>
      <c r="V16" s="24">
        <f t="shared" si="3"/>
        <v>0</v>
      </c>
      <c r="W16" s="24">
        <f t="shared" si="3"/>
        <v>0</v>
      </c>
      <c r="X16" s="24">
        <f t="shared" si="3"/>
        <v>0</v>
      </c>
      <c r="Y16" s="24">
        <f t="shared" si="3"/>
        <v>0</v>
      </c>
      <c r="Z16" s="24">
        <f t="shared" si="3"/>
        <v>0</v>
      </c>
      <c r="AA16" s="24">
        <f t="shared" si="3"/>
        <v>0</v>
      </c>
      <c r="AB16" s="24">
        <f t="shared" si="3"/>
        <v>0</v>
      </c>
      <c r="AC16" s="24">
        <f t="shared" si="3"/>
        <v>0</v>
      </c>
      <c r="AD16" s="24">
        <f t="shared" si="3"/>
        <v>0</v>
      </c>
      <c r="AE16" s="24">
        <f t="shared" si="3"/>
        <v>0</v>
      </c>
      <c r="AF16" s="24">
        <f t="shared" si="3"/>
        <v>0</v>
      </c>
    </row>
    <row r="17" spans="1:32">
      <c r="A17" s="2" t="s">
        <v>59</v>
      </c>
      <c r="B17" s="24">
        <v>0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  <c r="V17" s="24">
        <v>0</v>
      </c>
      <c r="W17" s="24">
        <v>0</v>
      </c>
      <c r="X17" s="24">
        <v>0</v>
      </c>
      <c r="Y17" s="24">
        <v>0</v>
      </c>
      <c r="Z17" s="24">
        <v>0</v>
      </c>
      <c r="AA17" s="24">
        <v>0</v>
      </c>
      <c r="AB17" s="24">
        <v>0</v>
      </c>
      <c r="AC17" s="24">
        <v>0</v>
      </c>
      <c r="AD17" s="24">
        <v>0</v>
      </c>
      <c r="AE17" s="24">
        <v>0</v>
      </c>
      <c r="AF17" s="24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17"/>
  <sheetViews>
    <sheetView workbookViewId="0">
      <selection activeCell="B14" sqref="B14"/>
    </sheetView>
  </sheetViews>
  <sheetFormatPr defaultColWidth="8.85546875" defaultRowHeight="15"/>
  <cols>
    <col min="1" max="1" width="32.5703125" customWidth="1"/>
  </cols>
  <sheetData>
    <row r="1" spans="1:34">
      <c r="A1" s="4" t="s">
        <v>12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  <c r="AG1" s="4"/>
      <c r="AH1" s="4"/>
    </row>
    <row r="2" spans="1:34">
      <c r="A2" s="4" t="s">
        <v>39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/>
      <c r="AH2" s="10"/>
    </row>
    <row r="3" spans="1:34">
      <c r="A3" s="4" t="s">
        <v>40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/>
      <c r="AH3" s="10"/>
    </row>
    <row r="4" spans="1:34">
      <c r="A4" s="4" t="s">
        <v>41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/>
      <c r="AH4" s="10"/>
    </row>
    <row r="5" spans="1:34">
      <c r="A5" s="4" t="s">
        <v>42</v>
      </c>
      <c r="B5" s="10">
        <f>SUM(BSpUECB!B5:K5)</f>
        <v>51278.669999999991</v>
      </c>
      <c r="C5" s="10">
        <f>SUM(BSpUECB!C5:L5)</f>
        <v>51278.669999999991</v>
      </c>
      <c r="D5" s="10">
        <f>SUM(BSpUECB!D5:M5)</f>
        <v>51278.669999999991</v>
      </c>
      <c r="E5" s="10">
        <f>SUM(BSpUECB!E5:N5)</f>
        <v>51278.669999999991</v>
      </c>
      <c r="F5" s="10">
        <f>SUM(BSpUECB!F5:O5)</f>
        <v>51278.669999999991</v>
      </c>
      <c r="G5" s="10">
        <f>SUM(BSpUECB!G5:P5)</f>
        <v>51278.669999999991</v>
      </c>
      <c r="H5" s="10">
        <f>SUM(BSpUECB!H5:Q5)</f>
        <v>51278.669999999991</v>
      </c>
      <c r="I5" s="10">
        <f>SUM(BSpUECB!I5:R5)</f>
        <v>51278.669999999991</v>
      </c>
      <c r="J5" s="10">
        <f>SUM(BSpUECB!J5:S5)</f>
        <v>51278.669999999991</v>
      </c>
      <c r="K5" s="10">
        <f>SUM(BSpUECB!K5:T5)</f>
        <v>51278.669999999991</v>
      </c>
      <c r="L5" s="10">
        <f>SUM(BSpUECB!L5:U5)</f>
        <v>51278.669999999991</v>
      </c>
      <c r="M5" s="10">
        <f>SUM(BSpUECB!M5:V5)</f>
        <v>51278.669999999991</v>
      </c>
      <c r="N5" s="10">
        <f>SUM(BSpUECB!N5:W5)</f>
        <v>51278.669999999991</v>
      </c>
      <c r="O5" s="10">
        <f>SUM(BSpUECB!O5:X5)</f>
        <v>51278.669999999991</v>
      </c>
      <c r="P5" s="10">
        <f>SUM(BSpUECB!P5:Y5)</f>
        <v>51278.669999999991</v>
      </c>
      <c r="Q5" s="10">
        <f>SUM(BSpUECB!Q5:Z5)</f>
        <v>51278.669999999991</v>
      </c>
      <c r="R5" s="10">
        <f>SUM(BSpUECB!R5:AA5)</f>
        <v>51278.669999999991</v>
      </c>
      <c r="S5" s="10">
        <f>SUM(BSpUECB!S5:AB5)</f>
        <v>51278.669999999991</v>
      </c>
      <c r="T5" s="10">
        <f>SUM(BSpUECB!T5:AC5)</f>
        <v>51278.669999999991</v>
      </c>
      <c r="U5" s="10">
        <f>SUM(BSpUECB!U5:AD5)</f>
        <v>51278.669999999991</v>
      </c>
      <c r="V5" s="10">
        <f>SUM(BSpUECB!V5:AE5)</f>
        <v>51278.669999999991</v>
      </c>
      <c r="W5" s="10">
        <f>SUM(BSpUECB!W5:AF5)</f>
        <v>51278.669999999991</v>
      </c>
      <c r="X5" s="113">
        <f>W5</f>
        <v>51278.669999999991</v>
      </c>
      <c r="Y5" s="10">
        <f t="shared" ref="Y5:AF5" si="0">X5</f>
        <v>51278.669999999991</v>
      </c>
      <c r="Z5" s="10">
        <f t="shared" si="0"/>
        <v>51278.669999999991</v>
      </c>
      <c r="AA5" s="10">
        <f t="shared" si="0"/>
        <v>51278.669999999991</v>
      </c>
      <c r="AB5" s="10">
        <f t="shared" si="0"/>
        <v>51278.669999999991</v>
      </c>
      <c r="AC5" s="10">
        <f t="shared" si="0"/>
        <v>51278.669999999991</v>
      </c>
      <c r="AD5" s="10">
        <f t="shared" si="0"/>
        <v>51278.669999999991</v>
      </c>
      <c r="AE5" s="10">
        <f t="shared" si="0"/>
        <v>51278.669999999991</v>
      </c>
      <c r="AF5" s="10">
        <f t="shared" si="0"/>
        <v>51278.669999999991</v>
      </c>
      <c r="AG5" s="10"/>
      <c r="AH5" s="10"/>
    </row>
    <row r="6" spans="1:34">
      <c r="A6" s="4" t="s">
        <v>43</v>
      </c>
      <c r="B6" s="10">
        <f>SUM(BSpUECB!B6:K6)</f>
        <v>59932.621408593935</v>
      </c>
      <c r="C6" s="10">
        <f>SUM(BSpUECB!C6:L6)</f>
        <v>59118.993135011435</v>
      </c>
      <c r="D6" s="10">
        <f>SUM(BSpUECB!D6:M6)</f>
        <v>58340.047136491514</v>
      </c>
      <c r="E6" s="10">
        <f>SUM(BSpUECB!E6:N6)</f>
        <v>57596.616277721419</v>
      </c>
      <c r="F6" s="10">
        <f>SUM(BSpUECB!F6:O6)</f>
        <v>56889.52326615229</v>
      </c>
      <c r="G6" s="10">
        <f>SUM(BSpUECB!G6:P6)</f>
        <v>56219.580775872178</v>
      </c>
      <c r="H6" s="10">
        <f>SUM(BSpUECB!H6:Q6)</f>
        <v>55587.591569968354</v>
      </c>
      <c r="I6" s="10">
        <f>SUM(BSpUECB!I6:R6)</f>
        <v>54951.124619363232</v>
      </c>
      <c r="J6" s="10">
        <f>SUM(BSpUECB!J6:S6)</f>
        <v>54310.963226278473</v>
      </c>
      <c r="K6" s="10">
        <f>SUM(BSpUECB!K6:T6)</f>
        <v>53667.881140140773</v>
      </c>
      <c r="L6" s="10">
        <f>SUM(BSpUECB!L6:U6)</f>
        <v>53022.64267408337</v>
      </c>
      <c r="M6" s="10">
        <f>SUM(BSpUECB!M6:V6)</f>
        <v>52376.002820026733</v>
      </c>
      <c r="N6" s="10">
        <f>SUM(BSpUECB!N6:W6)</f>
        <v>51737.24908932735</v>
      </c>
      <c r="O6" s="10">
        <f>SUM(BSpUECB!O6:X6)</f>
        <v>51106.285306438294</v>
      </c>
      <c r="P6" s="10">
        <f>SUM(BSpUECB!P6:Y6)</f>
        <v>50483.016468725582</v>
      </c>
      <c r="Q6" s="10">
        <f>SUM(BSpUECB!Q6:Z6)</f>
        <v>49867.348732163839</v>
      </c>
      <c r="R6" s="10">
        <f>SUM(BSpUECB!R6:AA6)</f>
        <v>49259.18939720637</v>
      </c>
      <c r="S6" s="10">
        <f>SUM(BSpUECB!S6:AB6)</f>
        <v>48658.446894827735</v>
      </c>
      <c r="T6" s="10">
        <f>SUM(BSpUECB!T6:AC6)</f>
        <v>48065.030772736325</v>
      </c>
      <c r="U6" s="10">
        <f>SUM(BSpUECB!U6:AD6)</f>
        <v>47478.851681755215</v>
      </c>
      <c r="V6" s="10">
        <f>SUM(BSpUECB!V6:AE6)</f>
        <v>46899.82136236917</v>
      </c>
      <c r="W6" s="10">
        <f>SUM(BSpUECB!W6:AF6)</f>
        <v>46327.852631435504</v>
      </c>
      <c r="X6" s="113">
        <f>W6</f>
        <v>46327.852631435504</v>
      </c>
      <c r="Y6" s="10">
        <f t="shared" ref="Y6:AF6" si="1">X6</f>
        <v>46327.852631435504</v>
      </c>
      <c r="Z6" s="10">
        <f t="shared" si="1"/>
        <v>46327.852631435504</v>
      </c>
      <c r="AA6" s="10">
        <f t="shared" si="1"/>
        <v>46327.852631435504</v>
      </c>
      <c r="AB6" s="10">
        <f t="shared" si="1"/>
        <v>46327.852631435504</v>
      </c>
      <c r="AC6" s="10">
        <f t="shared" si="1"/>
        <v>46327.852631435504</v>
      </c>
      <c r="AD6" s="10">
        <f t="shared" si="1"/>
        <v>46327.852631435504</v>
      </c>
      <c r="AE6" s="10">
        <f t="shared" si="1"/>
        <v>46327.852631435504</v>
      </c>
      <c r="AF6" s="10">
        <f t="shared" si="1"/>
        <v>46327.852631435504</v>
      </c>
      <c r="AG6" s="10"/>
      <c r="AH6" s="10"/>
    </row>
    <row r="7" spans="1:34">
      <c r="A7" s="4" t="s">
        <v>44</v>
      </c>
      <c r="B7" s="10">
        <f>SUM(BSpUECB!B7:K7)</f>
        <v>33294.177472667172</v>
      </c>
      <c r="C7" s="10">
        <f>SUM(BSpUECB!C7:L7)</f>
        <v>32129.163488431219</v>
      </c>
      <c r="D7" s="10">
        <f>SUM(BSpUECB!D7:M7)</f>
        <v>30994.967700000114</v>
      </c>
      <c r="E7" s="10">
        <f>SUM(BSpUECB!E7:N7)</f>
        <v>29894.176229920948</v>
      </c>
      <c r="F7" s="10">
        <f>SUM(BSpUECB!F7:O7)</f>
        <v>28829.29490568344</v>
      </c>
      <c r="G7" s="10">
        <f>SUM(BSpUECB!G7:P7)</f>
        <v>27802.751752755801</v>
      </c>
      <c r="H7" s="10">
        <f>SUM(BSpUECB!H7:Q7)</f>
        <v>26816.89941021573</v>
      </c>
      <c r="I7" s="10">
        <f>SUM(BSpUECB!I7:R7)</f>
        <v>25878.797537487135</v>
      </c>
      <c r="J7" s="10">
        <f>SUM(BSpUECB!J7:S7)</f>
        <v>24990.654950082087</v>
      </c>
      <c r="K7" s="10">
        <f>SUM(BSpUECB!K7:T7)</f>
        <v>24154.611883248195</v>
      </c>
      <c r="L7" s="10">
        <f>SUM(BSpUECB!L7:U7)</f>
        <v>23372.742121278443</v>
      </c>
      <c r="M7" s="10">
        <f>SUM(BSpUECB!M7:V7)</f>
        <v>22647.055060709346</v>
      </c>
      <c r="N7" s="10">
        <f>SUM(BSpUECB!N7:W7)</f>
        <v>21943.899447547872</v>
      </c>
      <c r="O7" s="10">
        <f>SUM(BSpUECB!O7:X7)</f>
        <v>21262.575715617539</v>
      </c>
      <c r="P7" s="10">
        <f>SUM(BSpUECB!P7:Y7)</f>
        <v>20602.406019176706</v>
      </c>
      <c r="Q7" s="10">
        <f>SUM(BSpUECB!Q7:Z7)</f>
        <v>19962.733558533069</v>
      </c>
      <c r="R7" s="10">
        <f>SUM(BSpUECB!R7:AA7)</f>
        <v>19342.921926596769</v>
      </c>
      <c r="S7" s="10">
        <f>SUM(BSpUECB!S7:AB7)</f>
        <v>18742.354475722004</v>
      </c>
      <c r="T7" s="10">
        <f>SUM(BSpUECB!T7:AC7)</f>
        <v>18160.433704207204</v>
      </c>
      <c r="U7" s="10">
        <f>SUM(BSpUECB!U7:AD7)</f>
        <v>17596.580661843462</v>
      </c>
      <c r="V7" s="10">
        <f>SUM(BSpUECB!V7:AE7)</f>
        <v>17050.234373919684</v>
      </c>
      <c r="W7" s="10">
        <f>SUM(BSpUECB!W7:AF7)</f>
        <v>16520.851283111548</v>
      </c>
      <c r="X7" s="113">
        <f>W7</f>
        <v>16520.851283111548</v>
      </c>
      <c r="Y7" s="10">
        <f t="shared" ref="Y7:AF7" si="2">X7</f>
        <v>16520.851283111548</v>
      </c>
      <c r="Z7" s="10">
        <f t="shared" si="2"/>
        <v>16520.851283111548</v>
      </c>
      <c r="AA7" s="10">
        <f t="shared" si="2"/>
        <v>16520.851283111548</v>
      </c>
      <c r="AB7" s="10">
        <f t="shared" si="2"/>
        <v>16520.851283111548</v>
      </c>
      <c r="AC7" s="10">
        <f t="shared" si="2"/>
        <v>16520.851283111548</v>
      </c>
      <c r="AD7" s="10">
        <f t="shared" si="2"/>
        <v>16520.851283111548</v>
      </c>
      <c r="AE7" s="10">
        <f t="shared" si="2"/>
        <v>16520.851283111548</v>
      </c>
      <c r="AF7" s="10">
        <f t="shared" si="2"/>
        <v>16520.851283111548</v>
      </c>
      <c r="AG7" s="10"/>
      <c r="AH7" s="10"/>
    </row>
    <row r="8" spans="1:34">
      <c r="A8" s="4" t="s">
        <v>45</v>
      </c>
      <c r="B8" s="10">
        <f>0</f>
        <v>0</v>
      </c>
      <c r="C8" s="10">
        <f>0</f>
        <v>0</v>
      </c>
      <c r="D8" s="10">
        <f>0</f>
        <v>0</v>
      </c>
      <c r="E8" s="10">
        <f>0</f>
        <v>0</v>
      </c>
      <c r="F8" s="10">
        <f>0</f>
        <v>0</v>
      </c>
      <c r="G8" s="10">
        <f>0</f>
        <v>0</v>
      </c>
      <c r="H8" s="10">
        <f>0</f>
        <v>0</v>
      </c>
      <c r="I8" s="10">
        <f>0</f>
        <v>0</v>
      </c>
      <c r="J8" s="10">
        <f>0</f>
        <v>0</v>
      </c>
      <c r="K8" s="10">
        <f>0</f>
        <v>0</v>
      </c>
      <c r="L8" s="10">
        <f>0</f>
        <v>0</v>
      </c>
      <c r="M8" s="10">
        <f>0</f>
        <v>0</v>
      </c>
      <c r="N8" s="10">
        <f>0</f>
        <v>0</v>
      </c>
      <c r="O8" s="10">
        <f>0</f>
        <v>0</v>
      </c>
      <c r="P8" s="10">
        <f>0</f>
        <v>0</v>
      </c>
      <c r="Q8" s="10">
        <f>0</f>
        <v>0</v>
      </c>
      <c r="R8" s="10">
        <f>0</f>
        <v>0</v>
      </c>
      <c r="S8" s="10">
        <f>0</f>
        <v>0</v>
      </c>
      <c r="T8" s="10">
        <f>0</f>
        <v>0</v>
      </c>
      <c r="U8" s="10">
        <f>0</f>
        <v>0</v>
      </c>
      <c r="V8" s="10">
        <f>0</f>
        <v>0</v>
      </c>
      <c r="W8" s="10">
        <f>0</f>
        <v>0</v>
      </c>
      <c r="X8" s="10">
        <f>0</f>
        <v>0</v>
      </c>
      <c r="Y8" s="10">
        <f>0</f>
        <v>0</v>
      </c>
      <c r="Z8" s="10">
        <f>0</f>
        <v>0</v>
      </c>
      <c r="AA8" s="10">
        <f>0</f>
        <v>0</v>
      </c>
      <c r="AB8" s="10">
        <f>0</f>
        <v>0</v>
      </c>
      <c r="AC8" s="10">
        <f>0</f>
        <v>0</v>
      </c>
      <c r="AD8" s="10">
        <f>0</f>
        <v>0</v>
      </c>
      <c r="AE8" s="10">
        <f>0</f>
        <v>0</v>
      </c>
      <c r="AF8" s="10">
        <f>0</f>
        <v>0</v>
      </c>
      <c r="AG8" s="10"/>
      <c r="AH8" s="10"/>
    </row>
    <row r="9" spans="1:34">
      <c r="A9" s="4" t="s">
        <v>46</v>
      </c>
      <c r="B9" s="10">
        <f>SUM(BSpUECB!B9:K9)</f>
        <v>68680.316999999995</v>
      </c>
      <c r="C9" s="10">
        <f>SUM(BSpUECB!C9:L9)</f>
        <v>68680.316999999995</v>
      </c>
      <c r="D9" s="10">
        <f>SUM(BSpUECB!D9:M9)</f>
        <v>68680.316999999995</v>
      </c>
      <c r="E9" s="10">
        <f>SUM(BSpUECB!E9:N9)</f>
        <v>68680.316999999995</v>
      </c>
      <c r="F9" s="10">
        <f>SUM(BSpUECB!F9:O9)</f>
        <v>68680.316999999995</v>
      </c>
      <c r="G9" s="10">
        <f>SUM(BSpUECB!G9:P9)</f>
        <v>68680.316999999995</v>
      </c>
      <c r="H9" s="10">
        <f>SUM(BSpUECB!H9:Q9)</f>
        <v>68680.316999999995</v>
      </c>
      <c r="I9" s="10">
        <f>SUM(BSpUECB!I9:R9)</f>
        <v>68680.316999999995</v>
      </c>
      <c r="J9" s="10">
        <f>SUM(BSpUECB!J9:S9)</f>
        <v>68680.316999999995</v>
      </c>
      <c r="K9" s="10">
        <f>SUM(BSpUECB!K9:T9)</f>
        <v>68680.316999999995</v>
      </c>
      <c r="L9" s="10">
        <f>SUM(BSpUECB!L9:U9)</f>
        <v>68680.316999999995</v>
      </c>
      <c r="M9" s="10">
        <f>SUM(BSpUECB!M9:V9)</f>
        <v>68680.316999999995</v>
      </c>
      <c r="N9" s="10">
        <f>SUM(BSpUECB!N9:W9)</f>
        <v>68680.316999999995</v>
      </c>
      <c r="O9" s="10">
        <f>SUM(BSpUECB!O9:X9)</f>
        <v>68680.316999999995</v>
      </c>
      <c r="P9" s="10">
        <f>SUM(BSpUECB!P9:Y9)</f>
        <v>68680.316999999995</v>
      </c>
      <c r="Q9" s="10">
        <f>SUM(BSpUECB!Q9:Z9)</f>
        <v>68680.316999999995</v>
      </c>
      <c r="R9" s="10">
        <f>SUM(BSpUECB!R9:AA9)</f>
        <v>68680.316999999995</v>
      </c>
      <c r="S9" s="10">
        <f>SUM(BSpUECB!S9:AB9)</f>
        <v>68680.316999999995</v>
      </c>
      <c r="T9" s="10">
        <f>SUM(BSpUECB!T9:AC9)</f>
        <v>68680.316999999995</v>
      </c>
      <c r="U9" s="10">
        <f>SUM(BSpUECB!U9:AD9)</f>
        <v>68680.316999999995</v>
      </c>
      <c r="V9" s="10">
        <f>SUM(BSpUECB!V9:AE9)</f>
        <v>68680.316999999995</v>
      </c>
      <c r="W9" s="10">
        <f>SUM(BSpUECB!W9:AF9)</f>
        <v>68680.316999999995</v>
      </c>
      <c r="X9" s="113">
        <f>W9</f>
        <v>68680.316999999995</v>
      </c>
      <c r="Y9" s="10">
        <f t="shared" ref="Y9:AF9" si="3">X9</f>
        <v>68680.316999999995</v>
      </c>
      <c r="Z9" s="10">
        <f t="shared" si="3"/>
        <v>68680.316999999995</v>
      </c>
      <c r="AA9" s="10">
        <f t="shared" si="3"/>
        <v>68680.316999999995</v>
      </c>
      <c r="AB9" s="10">
        <f t="shared" si="3"/>
        <v>68680.316999999995</v>
      </c>
      <c r="AC9" s="10">
        <f t="shared" si="3"/>
        <v>68680.316999999995</v>
      </c>
      <c r="AD9" s="10">
        <f t="shared" si="3"/>
        <v>68680.316999999995</v>
      </c>
      <c r="AE9" s="10">
        <f t="shared" si="3"/>
        <v>68680.316999999995</v>
      </c>
      <c r="AF9" s="10">
        <f t="shared" si="3"/>
        <v>68680.316999999995</v>
      </c>
      <c r="AG9" s="10"/>
      <c r="AH9" s="10"/>
    </row>
    <row r="10" spans="1:34">
      <c r="A10" s="4" t="s">
        <v>47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/>
      <c r="AH10" s="10"/>
    </row>
    <row r="11" spans="1:34">
      <c r="A11" s="4" t="s">
        <v>48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/>
      <c r="AH11" s="10"/>
    </row>
    <row r="12" spans="1:34">
      <c r="A12" s="4" t="s">
        <v>49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/>
      <c r="AH12" s="10"/>
    </row>
    <row r="13" spans="1:34">
      <c r="A13" s="4" t="s">
        <v>50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/>
      <c r="AH13" s="10"/>
    </row>
    <row r="14" spans="1:34">
      <c r="A14" s="4" t="s">
        <v>51</v>
      </c>
      <c r="B14" s="10">
        <f>SUM(BSpUECB!B14:K14)</f>
        <v>123019.53773500031</v>
      </c>
      <c r="C14" s="10">
        <f>SUM(BSpUECB!C14:L14)</f>
        <v>119806.43454001119</v>
      </c>
      <c r="D14" s="10">
        <f>SUM(BSpUECB!D14:M14)</f>
        <v>116677.25323524969</v>
      </c>
      <c r="E14" s="10">
        <f>SUM(BSpUECB!E14:N14)</f>
        <v>113629.80189495685</v>
      </c>
      <c r="F14" s="10">
        <f>SUM(BSpUECB!F14:O14)</f>
        <v>110661.94584349658</v>
      </c>
      <c r="G14" s="10">
        <f>SUM(BSpUECB!G14:P14)</f>
        <v>107771.60616006034</v>
      </c>
      <c r="H14" s="10">
        <f>SUM(BSpUECB!H14:Q14)</f>
        <v>104956.75822242681</v>
      </c>
      <c r="I14" s="10">
        <f>SUM(BSpUECB!I14:R14)</f>
        <v>102215.43028875637</v>
      </c>
      <c r="J14" s="10">
        <f>SUM(BSpUECB!J14:S14)</f>
        <v>99545.702116427623</v>
      </c>
      <c r="K14" s="10">
        <f>SUM(BSpUECB!K14:T14)</f>
        <v>96945.70361694759</v>
      </c>
      <c r="L14" s="10">
        <f>SUM(BSpUECB!L14:U14)</f>
        <v>94413.613545994114</v>
      </c>
      <c r="M14" s="10">
        <f>SUM(BSpUECB!M14:V14)</f>
        <v>91947.658227672408</v>
      </c>
      <c r="N14" s="10">
        <f>SUM(BSpUECB!N14:W14)</f>
        <v>89546.110312092438</v>
      </c>
      <c r="O14" s="10">
        <f>SUM(BSpUECB!O14:X14)</f>
        <v>87207.28756539656</v>
      </c>
      <c r="P14" s="10">
        <f>SUM(BSpUECB!P14:Y14)</f>
        <v>84929.551691390036</v>
      </c>
      <c r="Q14" s="10">
        <f>SUM(BSpUECB!Q14:Z14)</f>
        <v>82711.307183949015</v>
      </c>
      <c r="R14" s="10">
        <f>SUM(BSpUECB!R14:AA14)</f>
        <v>80551.000209401987</v>
      </c>
      <c r="S14" s="10">
        <f>SUM(BSpUECB!S14:AB14)</f>
        <v>78447.11751810195</v>
      </c>
      <c r="T14" s="10">
        <f>SUM(BSpUECB!T14:AC14)</f>
        <v>76398.185384426833</v>
      </c>
      <c r="U14" s="10">
        <f>SUM(BSpUECB!U14:AD14)</f>
        <v>74402.768574465677</v>
      </c>
      <c r="V14" s="10">
        <f>SUM(BSpUECB!V14:AE14)</f>
        <v>72459.469340667332</v>
      </c>
      <c r="W14" s="10">
        <f>SUM(BSpUECB!W14:AF14)</f>
        <v>70566.926442747834</v>
      </c>
      <c r="X14" s="113">
        <f>W14</f>
        <v>70566.926442747834</v>
      </c>
      <c r="Y14" s="10">
        <f t="shared" ref="Y14:AF14" si="4">X14</f>
        <v>70566.926442747834</v>
      </c>
      <c r="Z14" s="10">
        <f t="shared" si="4"/>
        <v>70566.926442747834</v>
      </c>
      <c r="AA14" s="10">
        <f t="shared" si="4"/>
        <v>70566.926442747834</v>
      </c>
      <c r="AB14" s="10">
        <f t="shared" si="4"/>
        <v>70566.926442747834</v>
      </c>
      <c r="AC14" s="10">
        <f t="shared" si="4"/>
        <v>70566.926442747834</v>
      </c>
      <c r="AD14" s="10">
        <f t="shared" si="4"/>
        <v>70566.926442747834</v>
      </c>
      <c r="AE14" s="10">
        <f t="shared" si="4"/>
        <v>70566.926442747834</v>
      </c>
      <c r="AF14" s="10">
        <f t="shared" si="4"/>
        <v>70566.926442747834</v>
      </c>
      <c r="AG14" s="10"/>
      <c r="AH14" s="10"/>
    </row>
    <row r="15" spans="1:34">
      <c r="A15" t="s">
        <v>57</v>
      </c>
      <c r="B15" s="10">
        <f t="shared" ref="B15" si="5">B11</f>
        <v>0</v>
      </c>
      <c r="C15" s="10">
        <f t="shared" ref="C15:AF15" si="6">C11</f>
        <v>0</v>
      </c>
      <c r="D15" s="10">
        <f t="shared" si="6"/>
        <v>0</v>
      </c>
      <c r="E15" s="10">
        <f t="shared" si="6"/>
        <v>0</v>
      </c>
      <c r="F15" s="10">
        <f t="shared" si="6"/>
        <v>0</v>
      </c>
      <c r="G15" s="10">
        <f t="shared" si="6"/>
        <v>0</v>
      </c>
      <c r="H15" s="10">
        <f t="shared" si="6"/>
        <v>0</v>
      </c>
      <c r="I15" s="10">
        <f t="shared" si="6"/>
        <v>0</v>
      </c>
      <c r="J15" s="10">
        <f t="shared" si="6"/>
        <v>0</v>
      </c>
      <c r="K15" s="10">
        <f t="shared" si="6"/>
        <v>0</v>
      </c>
      <c r="L15" s="10">
        <f t="shared" si="6"/>
        <v>0</v>
      </c>
      <c r="M15" s="10">
        <f t="shared" si="6"/>
        <v>0</v>
      </c>
      <c r="N15" s="10">
        <f t="shared" si="6"/>
        <v>0</v>
      </c>
      <c r="O15" s="10">
        <f t="shared" si="6"/>
        <v>0</v>
      </c>
      <c r="P15" s="10">
        <f t="shared" si="6"/>
        <v>0</v>
      </c>
      <c r="Q15" s="10">
        <f t="shared" si="6"/>
        <v>0</v>
      </c>
      <c r="R15" s="10">
        <f t="shared" si="6"/>
        <v>0</v>
      </c>
      <c r="S15" s="10">
        <f t="shared" si="6"/>
        <v>0</v>
      </c>
      <c r="T15" s="10">
        <f t="shared" si="6"/>
        <v>0</v>
      </c>
      <c r="U15" s="10">
        <f t="shared" si="6"/>
        <v>0</v>
      </c>
      <c r="V15" s="10">
        <f t="shared" si="6"/>
        <v>0</v>
      </c>
      <c r="W15" s="10">
        <f t="shared" si="6"/>
        <v>0</v>
      </c>
      <c r="X15" s="10">
        <f t="shared" si="6"/>
        <v>0</v>
      </c>
      <c r="Y15" s="10">
        <f t="shared" si="6"/>
        <v>0</v>
      </c>
      <c r="Z15" s="10">
        <f t="shared" si="6"/>
        <v>0</v>
      </c>
      <c r="AA15" s="10">
        <f t="shared" si="6"/>
        <v>0</v>
      </c>
      <c r="AB15" s="10">
        <f t="shared" si="6"/>
        <v>0</v>
      </c>
      <c r="AC15" s="10">
        <f t="shared" si="6"/>
        <v>0</v>
      </c>
      <c r="AD15" s="10">
        <f t="shared" si="6"/>
        <v>0</v>
      </c>
      <c r="AE15" s="10">
        <f t="shared" si="6"/>
        <v>0</v>
      </c>
      <c r="AF15" s="10">
        <f t="shared" si="6"/>
        <v>0</v>
      </c>
      <c r="AG15" s="10"/>
      <c r="AH15" s="10"/>
    </row>
    <row r="16" spans="1:34">
      <c r="A16" t="s">
        <v>58</v>
      </c>
      <c r="B16" s="10">
        <f t="shared" ref="B16" si="7">B11</f>
        <v>0</v>
      </c>
      <c r="C16" s="10">
        <f t="shared" ref="C16:AF16" si="8">C11</f>
        <v>0</v>
      </c>
      <c r="D16" s="10">
        <f t="shared" si="8"/>
        <v>0</v>
      </c>
      <c r="E16" s="10">
        <f t="shared" si="8"/>
        <v>0</v>
      </c>
      <c r="F16" s="10">
        <f t="shared" si="8"/>
        <v>0</v>
      </c>
      <c r="G16" s="10">
        <f t="shared" si="8"/>
        <v>0</v>
      </c>
      <c r="H16" s="10">
        <f t="shared" si="8"/>
        <v>0</v>
      </c>
      <c r="I16" s="10">
        <f t="shared" si="8"/>
        <v>0</v>
      </c>
      <c r="J16" s="10">
        <f t="shared" si="8"/>
        <v>0</v>
      </c>
      <c r="K16" s="10">
        <f t="shared" si="8"/>
        <v>0</v>
      </c>
      <c r="L16" s="10">
        <f t="shared" si="8"/>
        <v>0</v>
      </c>
      <c r="M16" s="10">
        <f t="shared" si="8"/>
        <v>0</v>
      </c>
      <c r="N16" s="10">
        <f t="shared" si="8"/>
        <v>0</v>
      </c>
      <c r="O16" s="10">
        <f t="shared" si="8"/>
        <v>0</v>
      </c>
      <c r="P16" s="10">
        <f t="shared" si="8"/>
        <v>0</v>
      </c>
      <c r="Q16" s="10">
        <f t="shared" si="8"/>
        <v>0</v>
      </c>
      <c r="R16" s="10">
        <f t="shared" si="8"/>
        <v>0</v>
      </c>
      <c r="S16" s="10">
        <f t="shared" si="8"/>
        <v>0</v>
      </c>
      <c r="T16" s="10">
        <f t="shared" si="8"/>
        <v>0</v>
      </c>
      <c r="U16" s="10">
        <f t="shared" si="8"/>
        <v>0</v>
      </c>
      <c r="V16" s="10">
        <f t="shared" si="8"/>
        <v>0</v>
      </c>
      <c r="W16" s="10">
        <f t="shared" si="8"/>
        <v>0</v>
      </c>
      <c r="X16" s="10">
        <f t="shared" si="8"/>
        <v>0</v>
      </c>
      <c r="Y16" s="10">
        <f t="shared" si="8"/>
        <v>0</v>
      </c>
      <c r="Z16" s="10">
        <f t="shared" si="8"/>
        <v>0</v>
      </c>
      <c r="AA16" s="10">
        <f t="shared" si="8"/>
        <v>0</v>
      </c>
      <c r="AB16" s="10">
        <f t="shared" si="8"/>
        <v>0</v>
      </c>
      <c r="AC16" s="10">
        <f t="shared" si="8"/>
        <v>0</v>
      </c>
      <c r="AD16" s="10">
        <f t="shared" si="8"/>
        <v>0</v>
      </c>
      <c r="AE16" s="10">
        <f t="shared" si="8"/>
        <v>0</v>
      </c>
      <c r="AF16" s="10">
        <f t="shared" si="8"/>
        <v>0</v>
      </c>
      <c r="AG16" s="10"/>
      <c r="AH16" s="10"/>
    </row>
    <row r="17" spans="1:34">
      <c r="A17" t="s">
        <v>59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/>
      <c r="AH17" s="10"/>
    </row>
  </sheetData>
  <phoneticPr fontId="9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72658-247F-4DFA-A0C3-62F62B3A0567}">
  <dimension ref="A1:AH20"/>
  <sheetViews>
    <sheetView workbookViewId="0">
      <selection activeCell="B14" sqref="B14"/>
    </sheetView>
  </sheetViews>
  <sheetFormatPr defaultColWidth="9" defaultRowHeight="15"/>
  <cols>
    <col min="1" max="1" width="32.5703125" style="24" customWidth="1"/>
    <col min="2" max="16384" width="9" style="24"/>
  </cols>
  <sheetData>
    <row r="1" spans="1:34">
      <c r="A1" s="24" t="s">
        <v>12</v>
      </c>
      <c r="B1" s="24">
        <v>2020</v>
      </c>
      <c r="C1" s="24">
        <v>2021</v>
      </c>
      <c r="D1" s="24">
        <v>2022</v>
      </c>
      <c r="E1" s="24">
        <v>2023</v>
      </c>
      <c r="F1" s="24">
        <v>2024</v>
      </c>
      <c r="G1" s="24">
        <v>2025</v>
      </c>
      <c r="H1" s="24">
        <v>2026</v>
      </c>
      <c r="I1" s="24">
        <v>2027</v>
      </c>
      <c r="J1" s="24">
        <v>2028</v>
      </c>
      <c r="K1" s="24">
        <v>2029</v>
      </c>
      <c r="L1" s="24">
        <v>2030</v>
      </c>
      <c r="M1" s="24">
        <v>2031</v>
      </c>
      <c r="N1" s="24">
        <v>2032</v>
      </c>
      <c r="O1" s="24">
        <v>2033</v>
      </c>
      <c r="P1" s="24">
        <v>2034</v>
      </c>
      <c r="Q1" s="24">
        <v>2035</v>
      </c>
      <c r="R1" s="24">
        <v>2036</v>
      </c>
      <c r="S1" s="24">
        <v>2037</v>
      </c>
      <c r="T1" s="24">
        <v>2038</v>
      </c>
      <c r="U1" s="24">
        <v>2039</v>
      </c>
      <c r="V1" s="24">
        <v>2040</v>
      </c>
      <c r="W1" s="24">
        <v>2041</v>
      </c>
      <c r="X1" s="24">
        <v>2042</v>
      </c>
      <c r="Y1" s="24">
        <v>2043</v>
      </c>
      <c r="Z1" s="24">
        <v>2044</v>
      </c>
      <c r="AA1" s="24">
        <v>2045</v>
      </c>
      <c r="AB1" s="24">
        <v>2046</v>
      </c>
      <c r="AC1" s="24">
        <v>2047</v>
      </c>
      <c r="AD1" s="24">
        <v>2048</v>
      </c>
      <c r="AE1" s="24">
        <v>2049</v>
      </c>
      <c r="AF1" s="24">
        <v>2050</v>
      </c>
    </row>
    <row r="2" spans="1:34">
      <c r="A2" s="24" t="s">
        <v>39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/>
      <c r="AH2" s="10"/>
    </row>
    <row r="3" spans="1:34">
      <c r="A3" s="24" t="s">
        <v>40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/>
      <c r="AH3" s="10"/>
    </row>
    <row r="4" spans="1:34">
      <c r="A4" s="24" t="s">
        <v>41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/>
      <c r="AH4" s="10"/>
    </row>
    <row r="5" spans="1:34">
      <c r="A5" s="24" t="s">
        <v>42</v>
      </c>
      <c r="B5" s="10">
        <f>INDEX('Cal-CAPEX'!$M$6:$AQ$6,MATCH(B1,$B$1:$AF$1,0))*About!$B$92*'Cal-CAPEX'!$C$57/10</f>
        <v>5127.8670000000002</v>
      </c>
      <c r="C5" s="10">
        <f>INDEX('Cal-CAPEX'!$M$6:$AQ$6,MATCH(C1,$B$1:$AF$1,0))*About!$B$92*'Cal-CAPEX'!$C$57/10</f>
        <v>5127.8670000000002</v>
      </c>
      <c r="D5" s="10">
        <f>INDEX('Cal-CAPEX'!$M$6:$AQ$6,MATCH(D1,$B$1:$AF$1,0))*About!$B$92*'Cal-CAPEX'!$C$57/10</f>
        <v>5127.8670000000002</v>
      </c>
      <c r="E5" s="10">
        <f>INDEX('Cal-CAPEX'!$M$6:$AQ$6,MATCH(E1,$B$1:$AF$1,0))*About!$B$92*'Cal-CAPEX'!$C$57/10</f>
        <v>5127.8670000000002</v>
      </c>
      <c r="F5" s="10">
        <f>INDEX('Cal-CAPEX'!$M$6:$AQ$6,MATCH(F1,$B$1:$AF$1,0))*About!$B$92*'Cal-CAPEX'!$C$57/10</f>
        <v>5127.8670000000002</v>
      </c>
      <c r="G5" s="10">
        <f>INDEX('Cal-CAPEX'!$M$6:$AQ$6,MATCH(G1,$B$1:$AF$1,0))*About!$B$92*'Cal-CAPEX'!$C$57/10</f>
        <v>5127.8670000000002</v>
      </c>
      <c r="H5" s="10">
        <f>INDEX('Cal-CAPEX'!$M$6:$AQ$6,MATCH(H1,$B$1:$AF$1,0))*About!$B$92*'Cal-CAPEX'!$C$57/10</f>
        <v>5127.8670000000002</v>
      </c>
      <c r="I5" s="10">
        <f>INDEX('Cal-CAPEX'!$M$6:$AQ$6,MATCH(I1,$B$1:$AF$1,0))*About!$B$92*'Cal-CAPEX'!$C$57/10</f>
        <v>5127.8670000000002</v>
      </c>
      <c r="J5" s="10">
        <f>INDEX('Cal-CAPEX'!$M$6:$AQ$6,MATCH(J1,$B$1:$AF$1,0))*About!$B$92*'Cal-CAPEX'!$C$57/10</f>
        <v>5127.8670000000002</v>
      </c>
      <c r="K5" s="10">
        <f>INDEX('Cal-CAPEX'!$M$6:$AQ$6,MATCH(K1,$B$1:$AF$1,0))*About!$B$92*'Cal-CAPEX'!$C$57/10</f>
        <v>5127.8670000000002</v>
      </c>
      <c r="L5" s="10">
        <f>INDEX('Cal-CAPEX'!$M$6:$AQ$6,MATCH(L1,$B$1:$AF$1,0))*About!$B$92*'Cal-CAPEX'!$C$57/10</f>
        <v>5127.8670000000002</v>
      </c>
      <c r="M5" s="10">
        <f>INDEX('Cal-CAPEX'!$M$6:$AQ$6,MATCH(M1,$B$1:$AF$1,0))*About!$B$92*'Cal-CAPEX'!$C$57/10</f>
        <v>5127.8670000000002</v>
      </c>
      <c r="N5" s="10">
        <f>INDEX('Cal-CAPEX'!$M$6:$AQ$6,MATCH(N1,$B$1:$AF$1,0))*About!$B$92*'Cal-CAPEX'!$C$57/10</f>
        <v>5127.8670000000002</v>
      </c>
      <c r="O5" s="10">
        <f>INDEX('Cal-CAPEX'!$M$6:$AQ$6,MATCH(O1,$B$1:$AF$1,0))*About!$B$92*'Cal-CAPEX'!$C$57/10</f>
        <v>5127.8670000000002</v>
      </c>
      <c r="P5" s="10">
        <f>INDEX('Cal-CAPEX'!$M$6:$AQ$6,MATCH(P1,$B$1:$AF$1,0))*About!$B$92*'Cal-CAPEX'!$C$57/10</f>
        <v>5127.8670000000002</v>
      </c>
      <c r="Q5" s="10">
        <f>INDEX('Cal-CAPEX'!$M$6:$AQ$6,MATCH(Q1,$B$1:$AF$1,0))*About!$B$92*'Cal-CAPEX'!$C$57/10</f>
        <v>5127.8670000000002</v>
      </c>
      <c r="R5" s="10">
        <f>INDEX('Cal-CAPEX'!$M$6:$AQ$6,MATCH(R1,$B$1:$AF$1,0))*About!$B$92*'Cal-CAPEX'!$C$57/10</f>
        <v>5127.8670000000002</v>
      </c>
      <c r="S5" s="10">
        <f>INDEX('Cal-CAPEX'!$M$6:$AQ$6,MATCH(S1,$B$1:$AF$1,0))*About!$B$92*'Cal-CAPEX'!$C$57/10</f>
        <v>5127.8670000000002</v>
      </c>
      <c r="T5" s="10">
        <f>INDEX('Cal-CAPEX'!$M$6:$AQ$6,MATCH(T1,$B$1:$AF$1,0))*About!$B$92*'Cal-CAPEX'!$C$57/10</f>
        <v>5127.8670000000002</v>
      </c>
      <c r="U5" s="10">
        <f>INDEX('Cal-CAPEX'!$M$6:$AQ$6,MATCH(U1,$B$1:$AF$1,0))*About!$B$92*'Cal-CAPEX'!$C$57/10</f>
        <v>5127.8670000000002</v>
      </c>
      <c r="V5" s="10">
        <f>INDEX('Cal-CAPEX'!$M$6:$AQ$6,MATCH(V1,$B$1:$AF$1,0))*About!$B$92*'Cal-CAPEX'!$C$57/10</f>
        <v>5127.8670000000002</v>
      </c>
      <c r="W5" s="10">
        <f>INDEX('Cal-CAPEX'!$M$6:$AQ$6,MATCH(W1,$B$1:$AF$1,0))*About!$B$92*'Cal-CAPEX'!$C$57/10</f>
        <v>5127.8670000000002</v>
      </c>
      <c r="X5" s="10">
        <f>INDEX('Cal-CAPEX'!$M$6:$AQ$6,MATCH(X1,$B$1:$AF$1,0))*About!$B$92*'Cal-CAPEX'!$C$57/10</f>
        <v>5127.8670000000002</v>
      </c>
      <c r="Y5" s="10">
        <f>INDEX('Cal-CAPEX'!$M$6:$AQ$6,MATCH(Y1,$B$1:$AF$1,0))*About!$B$92*'Cal-CAPEX'!$C$57/10</f>
        <v>5127.8670000000002</v>
      </c>
      <c r="Z5" s="10">
        <f>INDEX('Cal-CAPEX'!$M$6:$AQ$6,MATCH(Z1,$B$1:$AF$1,0))*About!$B$92*'Cal-CAPEX'!$C$57/10</f>
        <v>5127.8670000000002</v>
      </c>
      <c r="AA5" s="10">
        <f>INDEX('Cal-CAPEX'!$M$6:$AQ$6,MATCH(AA1,$B$1:$AF$1,0))*About!$B$92*'Cal-CAPEX'!$C$57/10</f>
        <v>5127.8670000000002</v>
      </c>
      <c r="AB5" s="10">
        <f>INDEX('Cal-CAPEX'!$M$6:$AQ$6,MATCH(AB1,$B$1:$AF$1,0))*About!$B$92*'Cal-CAPEX'!$C$57/10</f>
        <v>5127.8670000000002</v>
      </c>
      <c r="AC5" s="10">
        <f>INDEX('Cal-CAPEX'!$M$6:$AQ$6,MATCH(AC1,$B$1:$AF$1,0))*About!$B$92*'Cal-CAPEX'!$C$57/10</f>
        <v>5127.8670000000002</v>
      </c>
      <c r="AD5" s="10">
        <f>INDEX('Cal-CAPEX'!$M$6:$AQ$6,MATCH(AD1,$B$1:$AF$1,0))*About!$B$92*'Cal-CAPEX'!$C$57/10</f>
        <v>5127.8670000000002</v>
      </c>
      <c r="AE5" s="10">
        <f>INDEX('Cal-CAPEX'!$M$6:$AQ$6,MATCH(AE1,$B$1:$AF$1,0))*About!$B$92*'Cal-CAPEX'!$C$57/10</f>
        <v>5127.8670000000002</v>
      </c>
      <c r="AF5" s="10">
        <f>INDEX('Cal-CAPEX'!$M$6:$AQ$6,MATCH(AF1,$B$1:$AF$1,0))*About!$B$92*'Cal-CAPEX'!$C$57/10</f>
        <v>5127.8670000000002</v>
      </c>
      <c r="AG5" s="10"/>
      <c r="AH5" s="10"/>
    </row>
    <row r="6" spans="1:34">
      <c r="A6" s="24" t="s">
        <v>43</v>
      </c>
      <c r="B6" s="10">
        <f>INDEX('Cal-CAPEX'!$M$24:$AQ$24,MATCH(B1,$B$1:$AF$1,0))*About!$B$92*'Cal-CAPEX'!$C$57/10</f>
        <v>6413.4248665141104</v>
      </c>
      <c r="C6" s="10">
        <f>INDEX('Cal-CAPEX'!$M$24:$AQ$24,MATCH(C1,$B$1:$AF$1,0))*About!$B$92*'Cal-CAPEX'!$C$57/10</f>
        <v>6310.4500381388252</v>
      </c>
      <c r="D6" s="10">
        <f>INDEX('Cal-CAPEX'!$M$24:$AQ$24,MATCH(D1,$B$1:$AF$1,0))*About!$B$92*'Cal-CAPEX'!$C$57/10</f>
        <v>6207.4752097635383</v>
      </c>
      <c r="E6" s="10">
        <f>INDEX('Cal-CAPEX'!$M$24:$AQ$24,MATCH(E1,$B$1:$AF$1,0))*About!$B$92*'Cal-CAPEX'!$C$57/10</f>
        <v>6104.5003813882522</v>
      </c>
      <c r="F6" s="10">
        <f>INDEX('Cal-CAPEX'!$M$24:$AQ$24,MATCH(F1,$B$1:$AF$1,0))*About!$B$92*'Cal-CAPEX'!$C$57/10</f>
        <v>6001.5255530129671</v>
      </c>
      <c r="G6" s="10">
        <f>INDEX('Cal-CAPEX'!$M$24:$AQ$24,MATCH(G1,$B$1:$AF$1,0))*About!$B$92*'Cal-CAPEX'!$C$57/10</f>
        <v>5898.5507246376801</v>
      </c>
      <c r="H6" s="10">
        <f>INDEX('Cal-CAPEX'!$M$24:$AQ$24,MATCH(H1,$B$1:$AF$1,0))*About!$B$92*'Cal-CAPEX'!$C$57/10</f>
        <v>5838.7998982964646</v>
      </c>
      <c r="I6" s="10">
        <f>INDEX('Cal-CAPEX'!$M$24:$AQ$24,MATCH(I1,$B$1:$AF$1,0))*About!$B$92*'Cal-CAPEX'!$C$57/10</f>
        <v>5779.049071955249</v>
      </c>
      <c r="J6" s="10">
        <f>INDEX('Cal-CAPEX'!$M$24:$AQ$24,MATCH(J1,$B$1:$AF$1,0))*About!$B$92*'Cal-CAPEX'!$C$57/10</f>
        <v>5719.2982456140344</v>
      </c>
      <c r="K6" s="10">
        <f>INDEX('Cal-CAPEX'!$M$24:$AQ$24,MATCH(K1,$B$1:$AF$1,0))*About!$B$92*'Cal-CAPEX'!$C$57/10</f>
        <v>5659.5474192728188</v>
      </c>
      <c r="L6" s="10">
        <f>INDEX('Cal-CAPEX'!$M$24:$AQ$24,MATCH(L1,$B$1:$AF$1,0))*About!$B$92*'Cal-CAPEX'!$C$57/10</f>
        <v>5599.7965929316033</v>
      </c>
      <c r="M6" s="10">
        <f>INDEX('Cal-CAPEX'!$M$24:$AQ$24,MATCH(M1,$B$1:$AF$1,0))*About!$B$92*'Cal-CAPEX'!$C$57/10</f>
        <v>5531.5040396189024</v>
      </c>
      <c r="N6" s="10">
        <f>INDEX('Cal-CAPEX'!$M$24:$AQ$24,MATCH(N1,$B$1:$AF$1,0))*About!$B$92*'Cal-CAPEX'!$C$57/10</f>
        <v>5464.0443509934403</v>
      </c>
      <c r="O6" s="10">
        <f>INDEX('Cal-CAPEX'!$M$24:$AQ$24,MATCH(O1,$B$1:$AF$1,0))*About!$B$92*'Cal-CAPEX'!$C$57/10</f>
        <v>5397.407369819126</v>
      </c>
      <c r="P6" s="10">
        <f>INDEX('Cal-CAPEX'!$M$24:$AQ$24,MATCH(P1,$B$1:$AF$1,0))*About!$B$92*'Cal-CAPEX'!$C$57/10</f>
        <v>5331.5830627328633</v>
      </c>
      <c r="Q6" s="10">
        <f>INDEX('Cal-CAPEX'!$M$24:$AQ$24,MATCH(Q1,$B$1:$AF$1,0))*About!$B$92*'Cal-CAPEX'!$C$57/10</f>
        <v>5266.5615187338581</v>
      </c>
      <c r="R6" s="10">
        <f>INDEX('Cal-CAPEX'!$M$24:$AQ$24,MATCH(R1,$B$1:$AF$1,0))*About!$B$92*'Cal-CAPEX'!$C$57/10</f>
        <v>5202.3329476913405</v>
      </c>
      <c r="S6" s="10">
        <f>INDEX('Cal-CAPEX'!$M$24:$AQ$24,MATCH(S1,$B$1:$AF$1,0))*About!$B$92*'Cal-CAPEX'!$C$57/10</f>
        <v>5138.8876788704902</v>
      </c>
      <c r="T6" s="10">
        <f>INDEX('Cal-CAPEX'!$M$24:$AQ$24,MATCH(T1,$B$1:$AF$1,0))*About!$B$92*'Cal-CAPEX'!$C$57/10</f>
        <v>5076.2161594763347</v>
      </c>
      <c r="U6" s="10">
        <f>INDEX('Cal-CAPEX'!$M$24:$AQ$24,MATCH(U1,$B$1:$AF$1,0))*About!$B$92*'Cal-CAPEX'!$C$57/10</f>
        <v>5014.3089532154117</v>
      </c>
      <c r="V6" s="10">
        <f>INDEX('Cal-CAPEX'!$M$24:$AQ$24,MATCH(V1,$B$1:$AF$1,0))*About!$B$92*'Cal-CAPEX'!$C$57/10</f>
        <v>4953.1567388749727</v>
      </c>
      <c r="W6" s="10">
        <f>INDEX('Cal-CAPEX'!$M$24:$AQ$24,MATCH(W1,$B$1:$AF$1,0))*About!$B$92*'Cal-CAPEX'!$C$57/10</f>
        <v>4892.7503089195052</v>
      </c>
      <c r="X6" s="10">
        <f>INDEX('Cal-CAPEX'!$M$24:$AQ$24,MATCH(X1,$B$1:$AF$1,0))*About!$B$92*'Cal-CAPEX'!$C$57/10</f>
        <v>4833.0805681043857</v>
      </c>
      <c r="Y6" s="10">
        <f>INDEX('Cal-CAPEX'!$M$24:$AQ$24,MATCH(Y1,$B$1:$AF$1,0))*About!$B$92*'Cal-CAPEX'!$C$57/10</f>
        <v>4774.1385321064245</v>
      </c>
      <c r="Z6" s="10">
        <f>INDEX('Cal-CAPEX'!$M$24:$AQ$24,MATCH(Z1,$B$1:$AF$1,0))*About!$B$92*'Cal-CAPEX'!$C$57/10</f>
        <v>4715.9153261711144</v>
      </c>
      <c r="AA6" s="10">
        <f>INDEX('Cal-CAPEX'!$M$24:$AQ$24,MATCH(AA1,$B$1:$AF$1,0))*About!$B$92*'Cal-CAPEX'!$C$57/10</f>
        <v>4658.4021837763985</v>
      </c>
      <c r="AB6" s="10">
        <f>INDEX('Cal-CAPEX'!$M$24:$AQ$24,MATCH(AB1,$B$1:$AF$1,0))*About!$B$92*'Cal-CAPEX'!$C$57/10</f>
        <v>4601.5904453126986</v>
      </c>
      <c r="AC6" s="10">
        <f>INDEX('Cal-CAPEX'!$M$24:$AQ$24,MATCH(AC1,$B$1:$AF$1,0))*About!$B$92*'Cal-CAPEX'!$C$57/10</f>
        <v>4545.4715567790681</v>
      </c>
      <c r="AD6" s="10">
        <f>INDEX('Cal-CAPEX'!$M$24:$AQ$24,MATCH(AD1,$B$1:$AF$1,0))*About!$B$92*'Cal-CAPEX'!$C$57/10</f>
        <v>4490.0370684952368</v>
      </c>
      <c r="AE6" s="10">
        <f>INDEX('Cal-CAPEX'!$M$24:$AQ$24,MATCH(AE1,$B$1:$AF$1,0))*About!$B$92*'Cal-CAPEX'!$C$57/10</f>
        <v>4435.2786338293654</v>
      </c>
      <c r="AF6" s="10">
        <f>INDEX('Cal-CAPEX'!$M$24:$AQ$24,MATCH(AF1,$B$1:$AF$1,0))*About!$B$92*'Cal-CAPEX'!$C$57/10</f>
        <v>4381.1880079413095</v>
      </c>
      <c r="AG6" s="10"/>
      <c r="AH6" s="10"/>
    </row>
    <row r="7" spans="1:34">
      <c r="A7" s="24" t="s">
        <v>44</v>
      </c>
      <c r="B7" s="10">
        <f>INDEX('Cal-CAPEX'!$M$23:$AQ$23,MATCH(B1,$B$1:$AF$1,0))*About!$B$92*'Cal-CAPEX'!$C$57/10</f>
        <v>3847.6989575387734</v>
      </c>
      <c r="C7" s="10">
        <f>INDEX('Cal-CAPEX'!$M$23:$AQ$23,MATCH(C1,$B$1:$AF$1,0))*About!$B$92*'Cal-CAPEX'!$C$57/10</f>
        <v>3733.5875921688275</v>
      </c>
      <c r="D7" s="10">
        <f>INDEX('Cal-CAPEX'!$M$23:$AQ$23,MATCH(D1,$B$1:$AF$1,0))*About!$B$92*'Cal-CAPEX'!$C$57/10</f>
        <v>3619.4762267988817</v>
      </c>
      <c r="E7" s="10">
        <f>INDEX('Cal-CAPEX'!$M$23:$AQ$23,MATCH(E1,$B$1:$AF$1,0))*About!$B$92*'Cal-CAPEX'!$C$57/10</f>
        <v>3505.364861428935</v>
      </c>
      <c r="F7" s="10">
        <f>INDEX('Cal-CAPEX'!$M$23:$AQ$23,MATCH(F1,$B$1:$AF$1,0))*About!$B$92*'Cal-CAPEX'!$C$57/10</f>
        <v>3391.2534960589887</v>
      </c>
      <c r="G7" s="10">
        <f>INDEX('Cal-CAPEX'!$M$23:$AQ$23,MATCH(G1,$B$1:$AF$1,0))*About!$B$92*'Cal-CAPEX'!$C$57/10</f>
        <v>3277.1421306890406</v>
      </c>
      <c r="H7" s="10">
        <f>INDEX('Cal-CAPEX'!$M$23:$AQ$23,MATCH(H1,$B$1:$AF$1,0))*About!$B$92*'Cal-CAPEX'!$C$57/10</f>
        <v>3158.2506992117974</v>
      </c>
      <c r="I7" s="10">
        <f>INDEX('Cal-CAPEX'!$M$23:$AQ$23,MATCH(I1,$B$1:$AF$1,0))*About!$B$92*'Cal-CAPEX'!$C$57/10</f>
        <v>3039.3592677345532</v>
      </c>
      <c r="J7" s="10">
        <f>INDEX('Cal-CAPEX'!$M$23:$AQ$23,MATCH(J1,$B$1:$AF$1,0))*About!$B$92*'Cal-CAPEX'!$C$57/10</f>
        <v>2920.4678362573104</v>
      </c>
      <c r="K7" s="10">
        <f>INDEX('Cal-CAPEX'!$M$23:$AQ$23,MATCH(K1,$B$1:$AF$1,0))*About!$B$92*'Cal-CAPEX'!$C$57/10</f>
        <v>2801.5764047800667</v>
      </c>
      <c r="L7" s="10">
        <f>INDEX('Cal-CAPEX'!$M$23:$AQ$23,MATCH(L1,$B$1:$AF$1,0))*About!$B$92*'Cal-CAPEX'!$C$57/10</f>
        <v>2682.6849733028221</v>
      </c>
      <c r="M7" s="10">
        <f>INDEX('Cal-CAPEX'!$M$23:$AQ$23,MATCH(M1,$B$1:$AF$1,0))*About!$B$92*'Cal-CAPEX'!$C$57/10</f>
        <v>2599.3918037377216</v>
      </c>
      <c r="N7" s="10">
        <f>INDEX('Cal-CAPEX'!$M$23:$AQ$23,MATCH(N1,$B$1:$AF$1,0))*About!$B$92*'Cal-CAPEX'!$C$57/10</f>
        <v>2518.6847567197124</v>
      </c>
      <c r="O7" s="10">
        <f>INDEX('Cal-CAPEX'!$M$23:$AQ$23,MATCH(O1,$B$1:$AF$1,0))*About!$B$92*'Cal-CAPEX'!$C$57/10</f>
        <v>2440.4835371914264</v>
      </c>
      <c r="P7" s="10">
        <f>INDEX('Cal-CAPEX'!$M$23:$AQ$23,MATCH(P1,$B$1:$AF$1,0))*About!$B$92*'Cal-CAPEX'!$C$57/10</f>
        <v>2364.7103431313517</v>
      </c>
      <c r="Q7" s="10">
        <f>INDEX('Cal-CAPEX'!$M$23:$AQ$23,MATCH(Q1,$B$1:$AF$1,0))*About!$B$92*'Cal-CAPEX'!$C$57/10</f>
        <v>2291.2897881489707</v>
      </c>
      <c r="R7" s="10">
        <f>INDEX('Cal-CAPEX'!$M$23:$AQ$23,MATCH(R1,$B$1:$AF$1,0))*About!$B$92*'Cal-CAPEX'!$C$57/10</f>
        <v>2220.148826483201</v>
      </c>
      <c r="S7" s="10">
        <f>INDEX('Cal-CAPEX'!$M$23:$AQ$23,MATCH(S1,$B$1:$AF$1,0))*About!$B$92*'Cal-CAPEX'!$C$57/10</f>
        <v>2151.2166803295086</v>
      </c>
      <c r="T7" s="10">
        <f>INDEX('Cal-CAPEX'!$M$23:$AQ$23,MATCH(T1,$B$1:$AF$1,0))*About!$B$92*'Cal-CAPEX'!$C$57/10</f>
        <v>2084.4247694234155</v>
      </c>
      <c r="U7" s="10">
        <f>INDEX('Cal-CAPEX'!$M$23:$AQ$23,MATCH(U1,$B$1:$AF$1,0))*About!$B$92*'Cal-CAPEX'!$C$57/10</f>
        <v>2019.706642810313</v>
      </c>
      <c r="V7" s="10">
        <f>INDEX('Cal-CAPEX'!$M$23:$AQ$23,MATCH(V1,$B$1:$AF$1,0))*About!$B$92*'Cal-CAPEX'!$C$57/10</f>
        <v>1956.9979127337276</v>
      </c>
      <c r="W7" s="10">
        <f>INDEX('Cal-CAPEX'!$M$23:$AQ$23,MATCH(W1,$B$1:$AF$1,0))*About!$B$92*'Cal-CAPEX'!$C$57/10</f>
        <v>1896.2361905762457</v>
      </c>
      <c r="X7" s="10">
        <f>INDEX('Cal-CAPEX'!$M$23:$AQ$23,MATCH(X1,$B$1:$AF$1,0))*About!$B$92*'Cal-CAPEX'!$C$57/10</f>
        <v>1837.3610247893764</v>
      </c>
      <c r="Y7" s="10">
        <f>INDEX('Cal-CAPEX'!$M$23:$AQ$23,MATCH(Y1,$B$1:$AF$1,0))*About!$B$92*'Cal-CAPEX'!$C$57/10</f>
        <v>1780.3138407505921</v>
      </c>
      <c r="Z7" s="10">
        <f>INDEX('Cal-CAPEX'!$M$23:$AQ$23,MATCH(Z1,$B$1:$AF$1,0))*About!$B$92*'Cal-CAPEX'!$C$57/10</f>
        <v>1725.0378824877148</v>
      </c>
      <c r="AA7" s="10">
        <f>INDEX('Cal-CAPEX'!$M$23:$AQ$23,MATCH(AA1,$B$1:$AF$1,0))*About!$B$92*'Cal-CAPEX'!$C$57/10</f>
        <v>1671.4781562126718</v>
      </c>
      <c r="AB7" s="10">
        <f>INDEX('Cal-CAPEX'!$M$23:$AQ$23,MATCH(AB1,$B$1:$AF$1,0))*About!$B$92*'Cal-CAPEX'!$C$57/10</f>
        <v>1619.5813756084337</v>
      </c>
      <c r="AC7" s="10">
        <f>INDEX('Cal-CAPEX'!$M$23:$AQ$23,MATCH(AC1,$B$1:$AF$1,0))*About!$B$92*'Cal-CAPEX'!$C$57/10</f>
        <v>1569.2959088147131</v>
      </c>
      <c r="AD7" s="10">
        <f>INDEX('Cal-CAPEX'!$M$23:$AQ$23,MATCH(AD1,$B$1:$AF$1,0))*About!$B$92*'Cal-CAPEX'!$C$57/10</f>
        <v>1520.5717270596729</v>
      </c>
      <c r="AE7" s="10">
        <f>INDEX('Cal-CAPEX'!$M$23:$AQ$23,MATCH(AE1,$B$1:$AF$1,0))*About!$B$92*'Cal-CAPEX'!$C$57/10</f>
        <v>1473.3603548865372</v>
      </c>
      <c r="AF7" s="10">
        <f>INDEX('Cal-CAPEX'!$M$23:$AQ$23,MATCH(AF1,$B$1:$AF$1,0))*About!$B$92*'Cal-CAPEX'!$C$57/10</f>
        <v>1427.6148219255908</v>
      </c>
      <c r="AG7" s="10"/>
      <c r="AH7" s="10"/>
    </row>
    <row r="8" spans="1:34">
      <c r="A8" s="24" t="s">
        <v>45</v>
      </c>
      <c r="B8" s="10">
        <f>0</f>
        <v>0</v>
      </c>
      <c r="C8" s="10">
        <f>0</f>
        <v>0</v>
      </c>
      <c r="D8" s="10">
        <f>0</f>
        <v>0</v>
      </c>
      <c r="E8" s="10">
        <f>0</f>
        <v>0</v>
      </c>
      <c r="F8" s="10">
        <f>0</f>
        <v>0</v>
      </c>
      <c r="G8" s="10">
        <f>0</f>
        <v>0</v>
      </c>
      <c r="H8" s="10">
        <f>0</f>
        <v>0</v>
      </c>
      <c r="I8" s="10">
        <f>0</f>
        <v>0</v>
      </c>
      <c r="J8" s="10">
        <f>0</f>
        <v>0</v>
      </c>
      <c r="K8" s="10">
        <f>0</f>
        <v>0</v>
      </c>
      <c r="L8" s="10">
        <f>0</f>
        <v>0</v>
      </c>
      <c r="M8" s="10">
        <f>0</f>
        <v>0</v>
      </c>
      <c r="N8" s="10">
        <f>0</f>
        <v>0</v>
      </c>
      <c r="O8" s="10">
        <f>0</f>
        <v>0</v>
      </c>
      <c r="P8" s="10">
        <f>0</f>
        <v>0</v>
      </c>
      <c r="Q8" s="10">
        <f>0</f>
        <v>0</v>
      </c>
      <c r="R8" s="10">
        <f>0</f>
        <v>0</v>
      </c>
      <c r="S8" s="10">
        <f>0</f>
        <v>0</v>
      </c>
      <c r="T8" s="10">
        <f>0</f>
        <v>0</v>
      </c>
      <c r="U8" s="10">
        <f>0</f>
        <v>0</v>
      </c>
      <c r="V8" s="10">
        <f>0</f>
        <v>0</v>
      </c>
      <c r="W8" s="10">
        <f>0</f>
        <v>0</v>
      </c>
      <c r="X8" s="10">
        <f>0</f>
        <v>0</v>
      </c>
      <c r="Y8" s="10">
        <f>0</f>
        <v>0</v>
      </c>
      <c r="Z8" s="10">
        <f>0</f>
        <v>0</v>
      </c>
      <c r="AA8" s="10">
        <f>0</f>
        <v>0</v>
      </c>
      <c r="AB8" s="10">
        <f>0</f>
        <v>0</v>
      </c>
      <c r="AC8" s="10">
        <f>0</f>
        <v>0</v>
      </c>
      <c r="AD8" s="10">
        <f>0</f>
        <v>0</v>
      </c>
      <c r="AE8" s="10">
        <f>0</f>
        <v>0</v>
      </c>
      <c r="AF8" s="10">
        <f>0</f>
        <v>0</v>
      </c>
      <c r="AG8" s="10"/>
      <c r="AH8" s="10"/>
    </row>
    <row r="9" spans="1:34">
      <c r="A9" s="24" t="s">
        <v>46</v>
      </c>
      <c r="B9" s="10">
        <f>INDEX('Cal-CAPEX'!$M$7:$AQ$7,MATCH(B1,$B$1:$AF$1,0))*About!$B$92*'Cal-CAPEX'!$C$57/10</f>
        <v>6868.0316999999995</v>
      </c>
      <c r="C9" s="10">
        <f>INDEX('Cal-CAPEX'!$M$7:$AQ$7,MATCH(C1,$B$1:$AF$1,0))*About!$B$92*'Cal-CAPEX'!$C$57/10</f>
        <v>6868.0316999999995</v>
      </c>
      <c r="D9" s="10">
        <f>INDEX('Cal-CAPEX'!$M$7:$AQ$7,MATCH(D1,$B$1:$AF$1,0))*About!$B$92*'Cal-CAPEX'!$C$57/10</f>
        <v>6868.0316999999995</v>
      </c>
      <c r="E9" s="10">
        <f>INDEX('Cal-CAPEX'!$M$7:$AQ$7,MATCH(E1,$B$1:$AF$1,0))*About!$B$92*'Cal-CAPEX'!$C$57/10</f>
        <v>6868.0316999999995</v>
      </c>
      <c r="F9" s="10">
        <f>INDEX('Cal-CAPEX'!$M$7:$AQ$7,MATCH(F1,$B$1:$AF$1,0))*About!$B$92*'Cal-CAPEX'!$C$57/10</f>
        <v>6868.0316999999995</v>
      </c>
      <c r="G9" s="10">
        <f>INDEX('Cal-CAPEX'!$M$7:$AQ$7,MATCH(G1,$B$1:$AF$1,0))*About!$B$92*'Cal-CAPEX'!$C$57/10</f>
        <v>6868.0316999999995</v>
      </c>
      <c r="H9" s="10">
        <f>INDEX('Cal-CAPEX'!$M$7:$AQ$7,MATCH(H1,$B$1:$AF$1,0))*About!$B$92*'Cal-CAPEX'!$C$57/10</f>
        <v>6868.0316999999995</v>
      </c>
      <c r="I9" s="10">
        <f>INDEX('Cal-CAPEX'!$M$7:$AQ$7,MATCH(I1,$B$1:$AF$1,0))*About!$B$92*'Cal-CAPEX'!$C$57/10</f>
        <v>6868.0316999999995</v>
      </c>
      <c r="J9" s="10">
        <f>INDEX('Cal-CAPEX'!$M$7:$AQ$7,MATCH(J1,$B$1:$AF$1,0))*About!$B$92*'Cal-CAPEX'!$C$57/10</f>
        <v>6868.0316999999995</v>
      </c>
      <c r="K9" s="10">
        <f>INDEX('Cal-CAPEX'!$M$7:$AQ$7,MATCH(K1,$B$1:$AF$1,0))*About!$B$92*'Cal-CAPEX'!$C$57/10</f>
        <v>6868.0316999999995</v>
      </c>
      <c r="L9" s="10">
        <f>INDEX('Cal-CAPEX'!$M$7:$AQ$7,MATCH(L1,$B$1:$AF$1,0))*About!$B$92*'Cal-CAPEX'!$C$57/10</f>
        <v>6868.0316999999995</v>
      </c>
      <c r="M9" s="10">
        <f>INDEX('Cal-CAPEX'!$M$7:$AQ$7,MATCH(M1,$B$1:$AF$1,0))*About!$B$92*'Cal-CAPEX'!$C$57/10</f>
        <v>6868.0316999999995</v>
      </c>
      <c r="N9" s="10">
        <f>INDEX('Cal-CAPEX'!$M$7:$AQ$7,MATCH(N1,$B$1:$AF$1,0))*About!$B$92*'Cal-CAPEX'!$C$57/10</f>
        <v>6868.0316999999995</v>
      </c>
      <c r="O9" s="10">
        <f>INDEX('Cal-CAPEX'!$M$7:$AQ$7,MATCH(O1,$B$1:$AF$1,0))*About!$B$92*'Cal-CAPEX'!$C$57/10</f>
        <v>6868.0316999999995</v>
      </c>
      <c r="P9" s="10">
        <f>INDEX('Cal-CAPEX'!$M$7:$AQ$7,MATCH(P1,$B$1:$AF$1,0))*About!$B$92*'Cal-CAPEX'!$C$57/10</f>
        <v>6868.0316999999995</v>
      </c>
      <c r="Q9" s="10">
        <f>INDEX('Cal-CAPEX'!$M$7:$AQ$7,MATCH(Q1,$B$1:$AF$1,0))*About!$B$92*'Cal-CAPEX'!$C$57/10</f>
        <v>6868.0316999999995</v>
      </c>
      <c r="R9" s="10">
        <f>INDEX('Cal-CAPEX'!$M$7:$AQ$7,MATCH(R1,$B$1:$AF$1,0))*About!$B$92*'Cal-CAPEX'!$C$57/10</f>
        <v>6868.0316999999995</v>
      </c>
      <c r="S9" s="10">
        <f>INDEX('Cal-CAPEX'!$M$7:$AQ$7,MATCH(S1,$B$1:$AF$1,0))*About!$B$92*'Cal-CAPEX'!$C$57/10</f>
        <v>6868.0316999999995</v>
      </c>
      <c r="T9" s="10">
        <f>INDEX('Cal-CAPEX'!$M$7:$AQ$7,MATCH(T1,$B$1:$AF$1,0))*About!$B$92*'Cal-CAPEX'!$C$57/10</f>
        <v>6868.0316999999995</v>
      </c>
      <c r="U9" s="10">
        <f>INDEX('Cal-CAPEX'!$M$7:$AQ$7,MATCH(U1,$B$1:$AF$1,0))*About!$B$92*'Cal-CAPEX'!$C$57/10</f>
        <v>6868.0316999999995</v>
      </c>
      <c r="V9" s="10">
        <f>INDEX('Cal-CAPEX'!$M$7:$AQ$7,MATCH(V1,$B$1:$AF$1,0))*About!$B$92*'Cal-CAPEX'!$C$57/10</f>
        <v>6868.0316999999995</v>
      </c>
      <c r="W9" s="10">
        <f>INDEX('Cal-CAPEX'!$M$7:$AQ$7,MATCH(W1,$B$1:$AF$1,0))*About!$B$92*'Cal-CAPEX'!$C$57/10</f>
        <v>6868.0316999999995</v>
      </c>
      <c r="X9" s="10">
        <f>INDEX('Cal-CAPEX'!$M$7:$AQ$7,MATCH(X1,$B$1:$AF$1,0))*About!$B$92*'Cal-CAPEX'!$C$57/10</f>
        <v>6868.0316999999995</v>
      </c>
      <c r="Y9" s="10">
        <f>INDEX('Cal-CAPEX'!$M$7:$AQ$7,MATCH(Y1,$B$1:$AF$1,0))*About!$B$92*'Cal-CAPEX'!$C$57/10</f>
        <v>6868.0316999999995</v>
      </c>
      <c r="Z9" s="10">
        <f>INDEX('Cal-CAPEX'!$M$7:$AQ$7,MATCH(Z1,$B$1:$AF$1,0))*About!$B$92*'Cal-CAPEX'!$C$57/10</f>
        <v>6868.0316999999995</v>
      </c>
      <c r="AA9" s="10">
        <f>INDEX('Cal-CAPEX'!$M$7:$AQ$7,MATCH(AA1,$B$1:$AF$1,0))*About!$B$92*'Cal-CAPEX'!$C$57/10</f>
        <v>6868.0316999999995</v>
      </c>
      <c r="AB9" s="10">
        <f>INDEX('Cal-CAPEX'!$M$7:$AQ$7,MATCH(AB1,$B$1:$AF$1,0))*About!$B$92*'Cal-CAPEX'!$C$57/10</f>
        <v>6868.0316999999995</v>
      </c>
      <c r="AC9" s="10">
        <f>INDEX('Cal-CAPEX'!$M$7:$AQ$7,MATCH(AC1,$B$1:$AF$1,0))*About!$B$92*'Cal-CAPEX'!$C$57/10</f>
        <v>6868.0316999999995</v>
      </c>
      <c r="AD9" s="10">
        <f>INDEX('Cal-CAPEX'!$M$7:$AQ$7,MATCH(AD1,$B$1:$AF$1,0))*About!$B$92*'Cal-CAPEX'!$C$57/10</f>
        <v>6868.0316999999995</v>
      </c>
      <c r="AE9" s="10">
        <f>INDEX('Cal-CAPEX'!$M$7:$AQ$7,MATCH(AE1,$B$1:$AF$1,0))*About!$B$92*'Cal-CAPEX'!$C$57/10</f>
        <v>6868.0316999999995</v>
      </c>
      <c r="AF9" s="10">
        <f>INDEX('Cal-CAPEX'!$M$7:$AQ$7,MATCH(AF1,$B$1:$AF$1,0))*About!$B$92*'Cal-CAPEX'!$C$57/10</f>
        <v>6868.0316999999995</v>
      </c>
      <c r="AG9" s="10"/>
      <c r="AH9" s="10"/>
    </row>
    <row r="10" spans="1:34">
      <c r="A10" s="24" t="s">
        <v>47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/>
      <c r="AH10" s="10"/>
    </row>
    <row r="11" spans="1:34">
      <c r="A11" s="24" t="s">
        <v>48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/>
      <c r="AH11" s="10"/>
    </row>
    <row r="12" spans="1:34">
      <c r="A12" s="24" t="s">
        <v>49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/>
      <c r="AH12" s="10"/>
    </row>
    <row r="13" spans="1:34">
      <c r="A13" s="24" t="s">
        <v>50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/>
      <c r="AH13" s="10"/>
    </row>
    <row r="14" spans="1:34">
      <c r="A14" s="24" t="s">
        <v>51</v>
      </c>
      <c r="B14" s="10">
        <f>INDEX('Cal-CAPEX'!$M$25:$AQ$25,MATCH(B1,$B$1:$AF$1,0))*About!$B$92*'Cal-CAPEX'!$C$57/10</f>
        <v>13817.923417916512</v>
      </c>
      <c r="C14" s="10">
        <f>INDEX('Cal-CAPEX'!$M$25:$AQ$25,MATCH(C1,$B$1:$AF$1,0))*About!$B$92*'Cal-CAPEX'!$C$57/10</f>
        <v>13457.018030856267</v>
      </c>
      <c r="D14" s="10">
        <f>INDEX('Cal-CAPEX'!$M$25:$AQ$25,MATCH(D1,$B$1:$AF$1,0))*About!$B$92*'Cal-CAPEX'!$C$57/10</f>
        <v>13105.539002190822</v>
      </c>
      <c r="E14" s="10">
        <f>INDEX('Cal-CAPEX'!$M$25:$AQ$25,MATCH(E1,$B$1:$AF$1,0))*About!$B$92*'Cal-CAPEX'!$C$57/10</f>
        <v>12763.240128245263</v>
      </c>
      <c r="F14" s="10">
        <f>INDEX('Cal-CAPEX'!$M$25:$AQ$25,MATCH(F1,$B$1:$AF$1,0))*About!$B$92*'Cal-CAPEX'!$C$57/10</f>
        <v>12429.881635850195</v>
      </c>
      <c r="G14" s="10">
        <f>INDEX('Cal-CAPEX'!$M$25:$AQ$25,MATCH(G1,$B$1:$AF$1,0))*About!$B$92*'Cal-CAPEX'!$C$57/10</f>
        <v>12105.230014385646</v>
      </c>
      <c r="H14" s="10">
        <f>INDEX('Cal-CAPEX'!$M$25:$AQ$25,MATCH(H1,$B$1:$AF$1,0))*About!$B$92*'Cal-CAPEX'!$C$57/10</f>
        <v>11789.057852211812</v>
      </c>
      <c r="I14" s="10">
        <f>INDEX('Cal-CAPEX'!$M$25:$AQ$25,MATCH(I1,$B$1:$AF$1,0))*About!$B$92*'Cal-CAPEX'!$C$57/10</f>
        <v>11481.143677371956</v>
      </c>
      <c r="J14" s="10">
        <f>INDEX('Cal-CAPEX'!$M$25:$AQ$25,MATCH(J1,$B$1:$AF$1,0))*About!$B$92*'Cal-CAPEX'!$C$57/10</f>
        <v>11181.271802455965</v>
      </c>
      <c r="K14" s="10">
        <f>INDEX('Cal-CAPEX'!$M$25:$AQ$25,MATCH(K1,$B$1:$AF$1,0))*About!$B$92*'Cal-CAPEX'!$C$57/10</f>
        <v>10889.232173515862</v>
      </c>
      <c r="L14" s="10">
        <f>INDEX('Cal-CAPEX'!$M$25:$AQ$25,MATCH(L1,$B$1:$AF$1,0))*About!$B$92*'Cal-CAPEX'!$C$57/10</f>
        <v>10604.820222927401</v>
      </c>
      <c r="M14" s="10">
        <f>INDEX('Cal-CAPEX'!$M$25:$AQ$25,MATCH(M1,$B$1:$AF$1,0))*About!$B$92*'Cal-CAPEX'!$C$57/10</f>
        <v>10327.836726094778</v>
      </c>
      <c r="N14" s="10">
        <f>INDEX('Cal-CAPEX'!$M$25:$AQ$25,MATCH(N1,$B$1:$AF$1,0))*About!$B$92*'Cal-CAPEX'!$C$57/10</f>
        <v>10058.087661897964</v>
      </c>
      <c r="O14" s="10">
        <f>INDEX('Cal-CAPEX'!$M$25:$AQ$25,MATCH(O1,$B$1:$AF$1,0))*About!$B$92*'Cal-CAPEX'!$C$57/10</f>
        <v>9795.3840767849924</v>
      </c>
      <c r="P14" s="10">
        <f>INDEX('Cal-CAPEX'!$M$25:$AQ$25,MATCH(P1,$B$1:$AF$1,0))*About!$B$92*'Cal-CAPEX'!$C$57/10</f>
        <v>9539.5419524139725</v>
      </c>
      <c r="Q14" s="10">
        <f>INDEX('Cal-CAPEX'!$M$25:$AQ$25,MATCH(Q1,$B$1:$AF$1,0))*About!$B$92*'Cal-CAPEX'!$C$57/10</f>
        <v>9290.3820767520992</v>
      </c>
      <c r="R14" s="10">
        <f>INDEX('Cal-CAPEX'!$M$25:$AQ$25,MATCH(R1,$B$1:$AF$1,0))*About!$B$92*'Cal-CAPEX'!$C$57/10</f>
        <v>9047.7299185413867</v>
      </c>
      <c r="S14" s="10">
        <f>INDEX('Cal-CAPEX'!$M$25:$AQ$25,MATCH(S1,$B$1:$AF$1,0))*About!$B$92*'Cal-CAPEX'!$C$57/10</f>
        <v>8811.4155050432073</v>
      </c>
      <c r="T14" s="10">
        <f>INDEX('Cal-CAPEX'!$M$25:$AQ$25,MATCH(T1,$B$1:$AF$1,0))*About!$B$92*'Cal-CAPEX'!$C$57/10</f>
        <v>8581.2733029759365</v>
      </c>
      <c r="U14" s="10">
        <f>INDEX('Cal-CAPEX'!$M$25:$AQ$25,MATCH(U1,$B$1:$AF$1,0))*About!$B$92*'Cal-CAPEX'!$C$57/10</f>
        <v>8357.1421025623767</v>
      </c>
      <c r="V14" s="10">
        <f>INDEX('Cal-CAPEX'!$M$25:$AQ$25,MATCH(V1,$B$1:$AF$1,0))*About!$B$92*'Cal-CAPEX'!$C$57/10</f>
        <v>8138.8649046057017</v>
      </c>
      <c r="W14" s="10">
        <f>INDEX('Cal-CAPEX'!$M$25:$AQ$25,MATCH(W1,$B$1:$AF$1,0))*About!$B$92*'Cal-CAPEX'!$C$57/10</f>
        <v>7926.2888105148113</v>
      </c>
      <c r="X14" s="10">
        <f>INDEX('Cal-CAPEX'!$M$25:$AQ$25,MATCH(X1,$B$1:$AF$1,0))*About!$B$92*'Cal-CAPEX'!$C$57/10</f>
        <v>7719.2649152020767</v>
      </c>
      <c r="Y14" s="10">
        <f>INDEX('Cal-CAPEX'!$M$25:$AQ$25,MATCH(Y1,$B$1:$AF$1,0))*About!$B$92*'Cal-CAPEX'!$C$57/10</f>
        <v>7517.6482027784659</v>
      </c>
      <c r="Z14" s="10">
        <f>INDEX('Cal-CAPEX'!$M$25:$AQ$25,MATCH(Z1,$B$1:$AF$1,0))*About!$B$92*'Cal-CAPEX'!$C$57/10</f>
        <v>7321.2974449729491</v>
      </c>
      <c r="AA14" s="10">
        <f>INDEX('Cal-CAPEX'!$M$25:$AQ$25,MATCH(AA1,$B$1:$AF$1,0))*About!$B$92*'Cal-CAPEX'!$C$57/10</f>
        <v>7130.0751022050699</v>
      </c>
      <c r="AB14" s="10">
        <f>INDEX('Cal-CAPEX'!$M$25:$AQ$25,MATCH(AB1,$B$1:$AF$1,0))*About!$B$92*'Cal-CAPEX'!$C$57/10</f>
        <v>6943.8472272413546</v>
      </c>
      <c r="AC14" s="10">
        <f>INDEX('Cal-CAPEX'!$M$25:$AQ$25,MATCH(AC1,$B$1:$AF$1,0))*About!$B$92*'Cal-CAPEX'!$C$57/10</f>
        <v>6762.4833713680973</v>
      </c>
      <c r="AD14" s="10">
        <f>INDEX('Cal-CAPEX'!$M$25:$AQ$25,MATCH(AD1,$B$1:$AF$1,0))*About!$B$92*'Cal-CAPEX'!$C$57/10</f>
        <v>6585.8564930147622</v>
      </c>
      <c r="AE14" s="10">
        <f>INDEX('Cal-CAPEX'!$M$25:$AQ$25,MATCH(AE1,$B$1:$AF$1,0))*About!$B$92*'Cal-CAPEX'!$C$57/10</f>
        <v>6413.8428687640417</v>
      </c>
      <c r="AF14" s="10">
        <f>INDEX('Cal-CAPEX'!$M$25:$AQ$25,MATCH(AF1,$B$1:$AF$1,0))*About!$B$92*'Cal-CAPEX'!$C$57/10</f>
        <v>6246.3220066862068</v>
      </c>
      <c r="AG14" s="10"/>
      <c r="AH14" s="10"/>
    </row>
    <row r="15" spans="1:34">
      <c r="A15" s="24" t="s">
        <v>57</v>
      </c>
      <c r="B15" s="10">
        <f t="shared" ref="B15:AF15" si="0">B11</f>
        <v>0</v>
      </c>
      <c r="C15" s="10">
        <f t="shared" si="0"/>
        <v>0</v>
      </c>
      <c r="D15" s="10">
        <f t="shared" si="0"/>
        <v>0</v>
      </c>
      <c r="E15" s="10">
        <f t="shared" si="0"/>
        <v>0</v>
      </c>
      <c r="F15" s="10">
        <f t="shared" si="0"/>
        <v>0</v>
      </c>
      <c r="G15" s="10">
        <f t="shared" si="0"/>
        <v>0</v>
      </c>
      <c r="H15" s="10">
        <f t="shared" si="0"/>
        <v>0</v>
      </c>
      <c r="I15" s="10">
        <f t="shared" si="0"/>
        <v>0</v>
      </c>
      <c r="J15" s="10">
        <f t="shared" si="0"/>
        <v>0</v>
      </c>
      <c r="K15" s="10">
        <f t="shared" si="0"/>
        <v>0</v>
      </c>
      <c r="L15" s="10">
        <f t="shared" si="0"/>
        <v>0</v>
      </c>
      <c r="M15" s="10">
        <f t="shared" si="0"/>
        <v>0</v>
      </c>
      <c r="N15" s="10">
        <f t="shared" si="0"/>
        <v>0</v>
      </c>
      <c r="O15" s="10">
        <f t="shared" si="0"/>
        <v>0</v>
      </c>
      <c r="P15" s="10">
        <f t="shared" si="0"/>
        <v>0</v>
      </c>
      <c r="Q15" s="10">
        <f t="shared" si="0"/>
        <v>0</v>
      </c>
      <c r="R15" s="10">
        <f t="shared" si="0"/>
        <v>0</v>
      </c>
      <c r="S15" s="10">
        <f t="shared" si="0"/>
        <v>0</v>
      </c>
      <c r="T15" s="10">
        <f t="shared" si="0"/>
        <v>0</v>
      </c>
      <c r="U15" s="10">
        <f t="shared" si="0"/>
        <v>0</v>
      </c>
      <c r="V15" s="10">
        <f t="shared" si="0"/>
        <v>0</v>
      </c>
      <c r="W15" s="10">
        <f t="shared" si="0"/>
        <v>0</v>
      </c>
      <c r="X15" s="10">
        <f t="shared" si="0"/>
        <v>0</v>
      </c>
      <c r="Y15" s="10">
        <f t="shared" si="0"/>
        <v>0</v>
      </c>
      <c r="Z15" s="10">
        <f t="shared" si="0"/>
        <v>0</v>
      </c>
      <c r="AA15" s="10">
        <f t="shared" si="0"/>
        <v>0</v>
      </c>
      <c r="AB15" s="10">
        <f t="shared" si="0"/>
        <v>0</v>
      </c>
      <c r="AC15" s="10">
        <f t="shared" si="0"/>
        <v>0</v>
      </c>
      <c r="AD15" s="10">
        <f t="shared" si="0"/>
        <v>0</v>
      </c>
      <c r="AE15" s="10">
        <f t="shared" si="0"/>
        <v>0</v>
      </c>
      <c r="AF15" s="10">
        <f t="shared" si="0"/>
        <v>0</v>
      </c>
      <c r="AG15" s="10"/>
      <c r="AH15" s="10"/>
    </row>
    <row r="16" spans="1:34">
      <c r="A16" s="24" t="s">
        <v>58</v>
      </c>
      <c r="B16" s="10">
        <f t="shared" ref="B16:AF16" si="1">B11</f>
        <v>0</v>
      </c>
      <c r="C16" s="10">
        <f t="shared" si="1"/>
        <v>0</v>
      </c>
      <c r="D16" s="10">
        <f t="shared" si="1"/>
        <v>0</v>
      </c>
      <c r="E16" s="10">
        <f t="shared" si="1"/>
        <v>0</v>
      </c>
      <c r="F16" s="10">
        <f t="shared" si="1"/>
        <v>0</v>
      </c>
      <c r="G16" s="10">
        <f t="shared" si="1"/>
        <v>0</v>
      </c>
      <c r="H16" s="10">
        <f t="shared" si="1"/>
        <v>0</v>
      </c>
      <c r="I16" s="10">
        <f t="shared" si="1"/>
        <v>0</v>
      </c>
      <c r="J16" s="10">
        <f t="shared" si="1"/>
        <v>0</v>
      </c>
      <c r="K16" s="10">
        <f t="shared" si="1"/>
        <v>0</v>
      </c>
      <c r="L16" s="10">
        <f t="shared" si="1"/>
        <v>0</v>
      </c>
      <c r="M16" s="10">
        <f t="shared" si="1"/>
        <v>0</v>
      </c>
      <c r="N16" s="10">
        <f t="shared" si="1"/>
        <v>0</v>
      </c>
      <c r="O16" s="10">
        <f t="shared" si="1"/>
        <v>0</v>
      </c>
      <c r="P16" s="10">
        <f t="shared" si="1"/>
        <v>0</v>
      </c>
      <c r="Q16" s="10">
        <f t="shared" si="1"/>
        <v>0</v>
      </c>
      <c r="R16" s="10">
        <f t="shared" si="1"/>
        <v>0</v>
      </c>
      <c r="S16" s="10">
        <f t="shared" si="1"/>
        <v>0</v>
      </c>
      <c r="T16" s="10">
        <f t="shared" si="1"/>
        <v>0</v>
      </c>
      <c r="U16" s="10">
        <f t="shared" si="1"/>
        <v>0</v>
      </c>
      <c r="V16" s="10">
        <f t="shared" si="1"/>
        <v>0</v>
      </c>
      <c r="W16" s="10">
        <f t="shared" si="1"/>
        <v>0</v>
      </c>
      <c r="X16" s="10">
        <f t="shared" si="1"/>
        <v>0</v>
      </c>
      <c r="Y16" s="10">
        <f t="shared" si="1"/>
        <v>0</v>
      </c>
      <c r="Z16" s="10">
        <f t="shared" si="1"/>
        <v>0</v>
      </c>
      <c r="AA16" s="10">
        <f t="shared" si="1"/>
        <v>0</v>
      </c>
      <c r="AB16" s="10">
        <f t="shared" si="1"/>
        <v>0</v>
      </c>
      <c r="AC16" s="10">
        <f t="shared" si="1"/>
        <v>0</v>
      </c>
      <c r="AD16" s="10">
        <f t="shared" si="1"/>
        <v>0</v>
      </c>
      <c r="AE16" s="10">
        <f t="shared" si="1"/>
        <v>0</v>
      </c>
      <c r="AF16" s="10">
        <f t="shared" si="1"/>
        <v>0</v>
      </c>
      <c r="AG16" s="10"/>
      <c r="AH16" s="10"/>
    </row>
    <row r="17" spans="1:34">
      <c r="A17" s="24" t="s">
        <v>59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/>
      <c r="AH17" s="10"/>
    </row>
    <row r="19" spans="1:34">
      <c r="A19" s="19" t="s">
        <v>97</v>
      </c>
    </row>
    <row r="20" spans="1:34">
      <c r="A20" s="24" t="s">
        <v>237</v>
      </c>
    </row>
  </sheetData>
  <phoneticPr fontId="9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F1E67-26FE-459D-9068-B4A34C1B9E42}">
  <dimension ref="A1:J24"/>
  <sheetViews>
    <sheetView workbookViewId="0">
      <selection activeCell="F28" sqref="F28"/>
    </sheetView>
  </sheetViews>
  <sheetFormatPr defaultColWidth="8.85546875" defaultRowHeight="15"/>
  <cols>
    <col min="1" max="1" width="14" style="24" customWidth="1"/>
    <col min="2" max="2" width="12.42578125" style="24" customWidth="1"/>
    <col min="3" max="6" width="13.5703125" style="24" customWidth="1"/>
    <col min="7" max="8" width="12.5703125" style="24" customWidth="1"/>
    <col min="9" max="10" width="11.85546875" style="24" customWidth="1"/>
    <col min="11" max="256" width="9" style="24"/>
    <col min="257" max="257" width="14" style="24" customWidth="1"/>
    <col min="258" max="258" width="12.42578125" style="24" customWidth="1"/>
    <col min="259" max="262" width="13.5703125" style="24" customWidth="1"/>
    <col min="263" max="264" width="12.5703125" style="24" customWidth="1"/>
    <col min="265" max="266" width="11.85546875" style="24" customWidth="1"/>
    <col min="267" max="512" width="9" style="24"/>
    <col min="513" max="513" width="14" style="24" customWidth="1"/>
    <col min="514" max="514" width="12.42578125" style="24" customWidth="1"/>
    <col min="515" max="518" width="13.5703125" style="24" customWidth="1"/>
    <col min="519" max="520" width="12.5703125" style="24" customWidth="1"/>
    <col min="521" max="522" width="11.85546875" style="24" customWidth="1"/>
    <col min="523" max="768" width="9" style="24"/>
    <col min="769" max="769" width="14" style="24" customWidth="1"/>
    <col min="770" max="770" width="12.42578125" style="24" customWidth="1"/>
    <col min="771" max="774" width="13.5703125" style="24" customWidth="1"/>
    <col min="775" max="776" width="12.5703125" style="24" customWidth="1"/>
    <col min="777" max="778" width="11.85546875" style="24" customWidth="1"/>
    <col min="779" max="1024" width="9" style="24"/>
    <col min="1025" max="1025" width="14" style="24" customWidth="1"/>
    <col min="1026" max="1026" width="12.42578125" style="24" customWidth="1"/>
    <col min="1027" max="1030" width="13.5703125" style="24" customWidth="1"/>
    <col min="1031" max="1032" width="12.5703125" style="24" customWidth="1"/>
    <col min="1033" max="1034" width="11.85546875" style="24" customWidth="1"/>
    <col min="1035" max="1280" width="9" style="24"/>
    <col min="1281" max="1281" width="14" style="24" customWidth="1"/>
    <col min="1282" max="1282" width="12.42578125" style="24" customWidth="1"/>
    <col min="1283" max="1286" width="13.5703125" style="24" customWidth="1"/>
    <col min="1287" max="1288" width="12.5703125" style="24" customWidth="1"/>
    <col min="1289" max="1290" width="11.85546875" style="24" customWidth="1"/>
    <col min="1291" max="1536" width="9" style="24"/>
    <col min="1537" max="1537" width="14" style="24" customWidth="1"/>
    <col min="1538" max="1538" width="12.42578125" style="24" customWidth="1"/>
    <col min="1539" max="1542" width="13.5703125" style="24" customWidth="1"/>
    <col min="1543" max="1544" width="12.5703125" style="24" customWidth="1"/>
    <col min="1545" max="1546" width="11.85546875" style="24" customWidth="1"/>
    <col min="1547" max="1792" width="9" style="24"/>
    <col min="1793" max="1793" width="14" style="24" customWidth="1"/>
    <col min="1794" max="1794" width="12.42578125" style="24" customWidth="1"/>
    <col min="1795" max="1798" width="13.5703125" style="24" customWidth="1"/>
    <col min="1799" max="1800" width="12.5703125" style="24" customWidth="1"/>
    <col min="1801" max="1802" width="11.85546875" style="24" customWidth="1"/>
    <col min="1803" max="2048" width="9" style="24"/>
    <col min="2049" max="2049" width="14" style="24" customWidth="1"/>
    <col min="2050" max="2050" width="12.42578125" style="24" customWidth="1"/>
    <col min="2051" max="2054" width="13.5703125" style="24" customWidth="1"/>
    <col min="2055" max="2056" width="12.5703125" style="24" customWidth="1"/>
    <col min="2057" max="2058" width="11.85546875" style="24" customWidth="1"/>
    <col min="2059" max="2304" width="9" style="24"/>
    <col min="2305" max="2305" width="14" style="24" customWidth="1"/>
    <col min="2306" max="2306" width="12.42578125" style="24" customWidth="1"/>
    <col min="2307" max="2310" width="13.5703125" style="24" customWidth="1"/>
    <col min="2311" max="2312" width="12.5703125" style="24" customWidth="1"/>
    <col min="2313" max="2314" width="11.85546875" style="24" customWidth="1"/>
    <col min="2315" max="2560" width="9" style="24"/>
    <col min="2561" max="2561" width="14" style="24" customWidth="1"/>
    <col min="2562" max="2562" width="12.42578125" style="24" customWidth="1"/>
    <col min="2563" max="2566" width="13.5703125" style="24" customWidth="1"/>
    <col min="2567" max="2568" width="12.5703125" style="24" customWidth="1"/>
    <col min="2569" max="2570" width="11.85546875" style="24" customWidth="1"/>
    <col min="2571" max="2816" width="9" style="24"/>
    <col min="2817" max="2817" width="14" style="24" customWidth="1"/>
    <col min="2818" max="2818" width="12.42578125" style="24" customWidth="1"/>
    <col min="2819" max="2822" width="13.5703125" style="24" customWidth="1"/>
    <col min="2823" max="2824" width="12.5703125" style="24" customWidth="1"/>
    <col min="2825" max="2826" width="11.85546875" style="24" customWidth="1"/>
    <col min="2827" max="3072" width="9" style="24"/>
    <col min="3073" max="3073" width="14" style="24" customWidth="1"/>
    <col min="3074" max="3074" width="12.42578125" style="24" customWidth="1"/>
    <col min="3075" max="3078" width="13.5703125" style="24" customWidth="1"/>
    <col min="3079" max="3080" width="12.5703125" style="24" customWidth="1"/>
    <col min="3081" max="3082" width="11.85546875" style="24" customWidth="1"/>
    <col min="3083" max="3328" width="9" style="24"/>
    <col min="3329" max="3329" width="14" style="24" customWidth="1"/>
    <col min="3330" max="3330" width="12.42578125" style="24" customWidth="1"/>
    <col min="3331" max="3334" width="13.5703125" style="24" customWidth="1"/>
    <col min="3335" max="3336" width="12.5703125" style="24" customWidth="1"/>
    <col min="3337" max="3338" width="11.85546875" style="24" customWidth="1"/>
    <col min="3339" max="3584" width="9" style="24"/>
    <col min="3585" max="3585" width="14" style="24" customWidth="1"/>
    <col min="3586" max="3586" width="12.42578125" style="24" customWidth="1"/>
    <col min="3587" max="3590" width="13.5703125" style="24" customWidth="1"/>
    <col min="3591" max="3592" width="12.5703125" style="24" customWidth="1"/>
    <col min="3593" max="3594" width="11.85546875" style="24" customWidth="1"/>
    <col min="3595" max="3840" width="9" style="24"/>
    <col min="3841" max="3841" width="14" style="24" customWidth="1"/>
    <col min="3842" max="3842" width="12.42578125" style="24" customWidth="1"/>
    <col min="3843" max="3846" width="13.5703125" style="24" customWidth="1"/>
    <col min="3847" max="3848" width="12.5703125" style="24" customWidth="1"/>
    <col min="3849" max="3850" width="11.85546875" style="24" customWidth="1"/>
    <col min="3851" max="4096" width="9" style="24"/>
    <col min="4097" max="4097" width="14" style="24" customWidth="1"/>
    <col min="4098" max="4098" width="12.42578125" style="24" customWidth="1"/>
    <col min="4099" max="4102" width="13.5703125" style="24" customWidth="1"/>
    <col min="4103" max="4104" width="12.5703125" style="24" customWidth="1"/>
    <col min="4105" max="4106" width="11.85546875" style="24" customWidth="1"/>
    <col min="4107" max="4352" width="9" style="24"/>
    <col min="4353" max="4353" width="14" style="24" customWidth="1"/>
    <col min="4354" max="4354" width="12.42578125" style="24" customWidth="1"/>
    <col min="4355" max="4358" width="13.5703125" style="24" customWidth="1"/>
    <col min="4359" max="4360" width="12.5703125" style="24" customWidth="1"/>
    <col min="4361" max="4362" width="11.85546875" style="24" customWidth="1"/>
    <col min="4363" max="4608" width="9" style="24"/>
    <col min="4609" max="4609" width="14" style="24" customWidth="1"/>
    <col min="4610" max="4610" width="12.42578125" style="24" customWidth="1"/>
    <col min="4611" max="4614" width="13.5703125" style="24" customWidth="1"/>
    <col min="4615" max="4616" width="12.5703125" style="24" customWidth="1"/>
    <col min="4617" max="4618" width="11.85546875" style="24" customWidth="1"/>
    <col min="4619" max="4864" width="9" style="24"/>
    <col min="4865" max="4865" width="14" style="24" customWidth="1"/>
    <col min="4866" max="4866" width="12.42578125" style="24" customWidth="1"/>
    <col min="4867" max="4870" width="13.5703125" style="24" customWidth="1"/>
    <col min="4871" max="4872" width="12.5703125" style="24" customWidth="1"/>
    <col min="4873" max="4874" width="11.85546875" style="24" customWidth="1"/>
    <col min="4875" max="5120" width="9" style="24"/>
    <col min="5121" max="5121" width="14" style="24" customWidth="1"/>
    <col min="5122" max="5122" width="12.42578125" style="24" customWidth="1"/>
    <col min="5123" max="5126" width="13.5703125" style="24" customWidth="1"/>
    <col min="5127" max="5128" width="12.5703125" style="24" customWidth="1"/>
    <col min="5129" max="5130" width="11.85546875" style="24" customWidth="1"/>
    <col min="5131" max="5376" width="9" style="24"/>
    <col min="5377" max="5377" width="14" style="24" customWidth="1"/>
    <col min="5378" max="5378" width="12.42578125" style="24" customWidth="1"/>
    <col min="5379" max="5382" width="13.5703125" style="24" customWidth="1"/>
    <col min="5383" max="5384" width="12.5703125" style="24" customWidth="1"/>
    <col min="5385" max="5386" width="11.85546875" style="24" customWidth="1"/>
    <col min="5387" max="5632" width="9" style="24"/>
    <col min="5633" max="5633" width="14" style="24" customWidth="1"/>
    <col min="5634" max="5634" width="12.42578125" style="24" customWidth="1"/>
    <col min="5635" max="5638" width="13.5703125" style="24" customWidth="1"/>
    <col min="5639" max="5640" width="12.5703125" style="24" customWidth="1"/>
    <col min="5641" max="5642" width="11.85546875" style="24" customWidth="1"/>
    <col min="5643" max="5888" width="9" style="24"/>
    <col min="5889" max="5889" width="14" style="24" customWidth="1"/>
    <col min="5890" max="5890" width="12.42578125" style="24" customWidth="1"/>
    <col min="5891" max="5894" width="13.5703125" style="24" customWidth="1"/>
    <col min="5895" max="5896" width="12.5703125" style="24" customWidth="1"/>
    <col min="5897" max="5898" width="11.85546875" style="24" customWidth="1"/>
    <col min="5899" max="6144" width="9" style="24"/>
    <col min="6145" max="6145" width="14" style="24" customWidth="1"/>
    <col min="6146" max="6146" width="12.42578125" style="24" customWidth="1"/>
    <col min="6147" max="6150" width="13.5703125" style="24" customWidth="1"/>
    <col min="6151" max="6152" width="12.5703125" style="24" customWidth="1"/>
    <col min="6153" max="6154" width="11.85546875" style="24" customWidth="1"/>
    <col min="6155" max="6400" width="9" style="24"/>
    <col min="6401" max="6401" width="14" style="24" customWidth="1"/>
    <col min="6402" max="6402" width="12.42578125" style="24" customWidth="1"/>
    <col min="6403" max="6406" width="13.5703125" style="24" customWidth="1"/>
    <col min="6407" max="6408" width="12.5703125" style="24" customWidth="1"/>
    <col min="6409" max="6410" width="11.85546875" style="24" customWidth="1"/>
    <col min="6411" max="6656" width="9" style="24"/>
    <col min="6657" max="6657" width="14" style="24" customWidth="1"/>
    <col min="6658" max="6658" width="12.42578125" style="24" customWidth="1"/>
    <col min="6659" max="6662" width="13.5703125" style="24" customWidth="1"/>
    <col min="6663" max="6664" width="12.5703125" style="24" customWidth="1"/>
    <col min="6665" max="6666" width="11.85546875" style="24" customWidth="1"/>
    <col min="6667" max="6912" width="9" style="24"/>
    <col min="6913" max="6913" width="14" style="24" customWidth="1"/>
    <col min="6914" max="6914" width="12.42578125" style="24" customWidth="1"/>
    <col min="6915" max="6918" width="13.5703125" style="24" customWidth="1"/>
    <col min="6919" max="6920" width="12.5703125" style="24" customWidth="1"/>
    <col min="6921" max="6922" width="11.85546875" style="24" customWidth="1"/>
    <col min="6923" max="7168" width="9" style="24"/>
    <col min="7169" max="7169" width="14" style="24" customWidth="1"/>
    <col min="7170" max="7170" width="12.42578125" style="24" customWidth="1"/>
    <col min="7171" max="7174" width="13.5703125" style="24" customWidth="1"/>
    <col min="7175" max="7176" width="12.5703125" style="24" customWidth="1"/>
    <col min="7177" max="7178" width="11.85546875" style="24" customWidth="1"/>
    <col min="7179" max="7424" width="9" style="24"/>
    <col min="7425" max="7425" width="14" style="24" customWidth="1"/>
    <col min="7426" max="7426" width="12.42578125" style="24" customWidth="1"/>
    <col min="7427" max="7430" width="13.5703125" style="24" customWidth="1"/>
    <col min="7431" max="7432" width="12.5703125" style="24" customWidth="1"/>
    <col min="7433" max="7434" width="11.85546875" style="24" customWidth="1"/>
    <col min="7435" max="7680" width="9" style="24"/>
    <col min="7681" max="7681" width="14" style="24" customWidth="1"/>
    <col min="7682" max="7682" width="12.42578125" style="24" customWidth="1"/>
    <col min="7683" max="7686" width="13.5703125" style="24" customWidth="1"/>
    <col min="7687" max="7688" width="12.5703125" style="24" customWidth="1"/>
    <col min="7689" max="7690" width="11.85546875" style="24" customWidth="1"/>
    <col min="7691" max="7936" width="9" style="24"/>
    <col min="7937" max="7937" width="14" style="24" customWidth="1"/>
    <col min="7938" max="7938" width="12.42578125" style="24" customWidth="1"/>
    <col min="7939" max="7942" width="13.5703125" style="24" customWidth="1"/>
    <col min="7943" max="7944" width="12.5703125" style="24" customWidth="1"/>
    <col min="7945" max="7946" width="11.85546875" style="24" customWidth="1"/>
    <col min="7947" max="8192" width="9" style="24"/>
    <col min="8193" max="8193" width="14" style="24" customWidth="1"/>
    <col min="8194" max="8194" width="12.42578125" style="24" customWidth="1"/>
    <col min="8195" max="8198" width="13.5703125" style="24" customWidth="1"/>
    <col min="8199" max="8200" width="12.5703125" style="24" customWidth="1"/>
    <col min="8201" max="8202" width="11.85546875" style="24" customWidth="1"/>
    <col min="8203" max="8448" width="9" style="24"/>
    <col min="8449" max="8449" width="14" style="24" customWidth="1"/>
    <col min="8450" max="8450" width="12.42578125" style="24" customWidth="1"/>
    <col min="8451" max="8454" width="13.5703125" style="24" customWidth="1"/>
    <col min="8455" max="8456" width="12.5703125" style="24" customWidth="1"/>
    <col min="8457" max="8458" width="11.85546875" style="24" customWidth="1"/>
    <col min="8459" max="8704" width="9" style="24"/>
    <col min="8705" max="8705" width="14" style="24" customWidth="1"/>
    <col min="8706" max="8706" width="12.42578125" style="24" customWidth="1"/>
    <col min="8707" max="8710" width="13.5703125" style="24" customWidth="1"/>
    <col min="8711" max="8712" width="12.5703125" style="24" customWidth="1"/>
    <col min="8713" max="8714" width="11.85546875" style="24" customWidth="1"/>
    <col min="8715" max="8960" width="9" style="24"/>
    <col min="8961" max="8961" width="14" style="24" customWidth="1"/>
    <col min="8962" max="8962" width="12.42578125" style="24" customWidth="1"/>
    <col min="8963" max="8966" width="13.5703125" style="24" customWidth="1"/>
    <col min="8967" max="8968" width="12.5703125" style="24" customWidth="1"/>
    <col min="8969" max="8970" width="11.85546875" style="24" customWidth="1"/>
    <col min="8971" max="9216" width="9" style="24"/>
    <col min="9217" max="9217" width="14" style="24" customWidth="1"/>
    <col min="9218" max="9218" width="12.42578125" style="24" customWidth="1"/>
    <col min="9219" max="9222" width="13.5703125" style="24" customWidth="1"/>
    <col min="9223" max="9224" width="12.5703125" style="24" customWidth="1"/>
    <col min="9225" max="9226" width="11.85546875" style="24" customWidth="1"/>
    <col min="9227" max="9472" width="9" style="24"/>
    <col min="9473" max="9473" width="14" style="24" customWidth="1"/>
    <col min="9474" max="9474" width="12.42578125" style="24" customWidth="1"/>
    <col min="9475" max="9478" width="13.5703125" style="24" customWidth="1"/>
    <col min="9479" max="9480" width="12.5703125" style="24" customWidth="1"/>
    <col min="9481" max="9482" width="11.85546875" style="24" customWidth="1"/>
    <col min="9483" max="9728" width="9" style="24"/>
    <col min="9729" max="9729" width="14" style="24" customWidth="1"/>
    <col min="9730" max="9730" width="12.42578125" style="24" customWidth="1"/>
    <col min="9731" max="9734" width="13.5703125" style="24" customWidth="1"/>
    <col min="9735" max="9736" width="12.5703125" style="24" customWidth="1"/>
    <col min="9737" max="9738" width="11.85546875" style="24" customWidth="1"/>
    <col min="9739" max="9984" width="9" style="24"/>
    <col min="9985" max="9985" width="14" style="24" customWidth="1"/>
    <col min="9986" max="9986" width="12.42578125" style="24" customWidth="1"/>
    <col min="9987" max="9990" width="13.5703125" style="24" customWidth="1"/>
    <col min="9991" max="9992" width="12.5703125" style="24" customWidth="1"/>
    <col min="9993" max="9994" width="11.85546875" style="24" customWidth="1"/>
    <col min="9995" max="10240" width="9" style="24"/>
    <col min="10241" max="10241" width="14" style="24" customWidth="1"/>
    <col min="10242" max="10242" width="12.42578125" style="24" customWidth="1"/>
    <col min="10243" max="10246" width="13.5703125" style="24" customWidth="1"/>
    <col min="10247" max="10248" width="12.5703125" style="24" customWidth="1"/>
    <col min="10249" max="10250" width="11.85546875" style="24" customWidth="1"/>
    <col min="10251" max="10496" width="9" style="24"/>
    <col min="10497" max="10497" width="14" style="24" customWidth="1"/>
    <col min="10498" max="10498" width="12.42578125" style="24" customWidth="1"/>
    <col min="10499" max="10502" width="13.5703125" style="24" customWidth="1"/>
    <col min="10503" max="10504" width="12.5703125" style="24" customWidth="1"/>
    <col min="10505" max="10506" width="11.85546875" style="24" customWidth="1"/>
    <col min="10507" max="10752" width="9" style="24"/>
    <col min="10753" max="10753" width="14" style="24" customWidth="1"/>
    <col min="10754" max="10754" width="12.42578125" style="24" customWidth="1"/>
    <col min="10755" max="10758" width="13.5703125" style="24" customWidth="1"/>
    <col min="10759" max="10760" width="12.5703125" style="24" customWidth="1"/>
    <col min="10761" max="10762" width="11.85546875" style="24" customWidth="1"/>
    <col min="10763" max="11008" width="9" style="24"/>
    <col min="11009" max="11009" width="14" style="24" customWidth="1"/>
    <col min="11010" max="11010" width="12.42578125" style="24" customWidth="1"/>
    <col min="11011" max="11014" width="13.5703125" style="24" customWidth="1"/>
    <col min="11015" max="11016" width="12.5703125" style="24" customWidth="1"/>
    <col min="11017" max="11018" width="11.85546875" style="24" customWidth="1"/>
    <col min="11019" max="11264" width="9" style="24"/>
    <col min="11265" max="11265" width="14" style="24" customWidth="1"/>
    <col min="11266" max="11266" width="12.42578125" style="24" customWidth="1"/>
    <col min="11267" max="11270" width="13.5703125" style="24" customWidth="1"/>
    <col min="11271" max="11272" width="12.5703125" style="24" customWidth="1"/>
    <col min="11273" max="11274" width="11.85546875" style="24" customWidth="1"/>
    <col min="11275" max="11520" width="9" style="24"/>
    <col min="11521" max="11521" width="14" style="24" customWidth="1"/>
    <col min="11522" max="11522" width="12.42578125" style="24" customWidth="1"/>
    <col min="11523" max="11526" width="13.5703125" style="24" customWidth="1"/>
    <col min="11527" max="11528" width="12.5703125" style="24" customWidth="1"/>
    <col min="11529" max="11530" width="11.85546875" style="24" customWidth="1"/>
    <col min="11531" max="11776" width="9" style="24"/>
    <col min="11777" max="11777" width="14" style="24" customWidth="1"/>
    <col min="11778" max="11778" width="12.42578125" style="24" customWidth="1"/>
    <col min="11779" max="11782" width="13.5703125" style="24" customWidth="1"/>
    <col min="11783" max="11784" width="12.5703125" style="24" customWidth="1"/>
    <col min="11785" max="11786" width="11.85546875" style="24" customWidth="1"/>
    <col min="11787" max="12032" width="9" style="24"/>
    <col min="12033" max="12033" width="14" style="24" customWidth="1"/>
    <col min="12034" max="12034" width="12.42578125" style="24" customWidth="1"/>
    <col min="12035" max="12038" width="13.5703125" style="24" customWidth="1"/>
    <col min="12039" max="12040" width="12.5703125" style="24" customWidth="1"/>
    <col min="12041" max="12042" width="11.85546875" style="24" customWidth="1"/>
    <col min="12043" max="12288" width="9" style="24"/>
    <col min="12289" max="12289" width="14" style="24" customWidth="1"/>
    <col min="12290" max="12290" width="12.42578125" style="24" customWidth="1"/>
    <col min="12291" max="12294" width="13.5703125" style="24" customWidth="1"/>
    <col min="12295" max="12296" width="12.5703125" style="24" customWidth="1"/>
    <col min="12297" max="12298" width="11.85546875" style="24" customWidth="1"/>
    <col min="12299" max="12544" width="9" style="24"/>
    <col min="12545" max="12545" width="14" style="24" customWidth="1"/>
    <col min="12546" max="12546" width="12.42578125" style="24" customWidth="1"/>
    <col min="12547" max="12550" width="13.5703125" style="24" customWidth="1"/>
    <col min="12551" max="12552" width="12.5703125" style="24" customWidth="1"/>
    <col min="12553" max="12554" width="11.85546875" style="24" customWidth="1"/>
    <col min="12555" max="12800" width="9" style="24"/>
    <col min="12801" max="12801" width="14" style="24" customWidth="1"/>
    <col min="12802" max="12802" width="12.42578125" style="24" customWidth="1"/>
    <col min="12803" max="12806" width="13.5703125" style="24" customWidth="1"/>
    <col min="12807" max="12808" width="12.5703125" style="24" customWidth="1"/>
    <col min="12809" max="12810" width="11.85546875" style="24" customWidth="1"/>
    <col min="12811" max="13056" width="9" style="24"/>
    <col min="13057" max="13057" width="14" style="24" customWidth="1"/>
    <col min="13058" max="13058" width="12.42578125" style="24" customWidth="1"/>
    <col min="13059" max="13062" width="13.5703125" style="24" customWidth="1"/>
    <col min="13063" max="13064" width="12.5703125" style="24" customWidth="1"/>
    <col min="13065" max="13066" width="11.85546875" style="24" customWidth="1"/>
    <col min="13067" max="13312" width="9" style="24"/>
    <col min="13313" max="13313" width="14" style="24" customWidth="1"/>
    <col min="13314" max="13314" width="12.42578125" style="24" customWidth="1"/>
    <col min="13315" max="13318" width="13.5703125" style="24" customWidth="1"/>
    <col min="13319" max="13320" width="12.5703125" style="24" customWidth="1"/>
    <col min="13321" max="13322" width="11.85546875" style="24" customWidth="1"/>
    <col min="13323" max="13568" width="9" style="24"/>
    <col min="13569" max="13569" width="14" style="24" customWidth="1"/>
    <col min="13570" max="13570" width="12.42578125" style="24" customWidth="1"/>
    <col min="13571" max="13574" width="13.5703125" style="24" customWidth="1"/>
    <col min="13575" max="13576" width="12.5703125" style="24" customWidth="1"/>
    <col min="13577" max="13578" width="11.85546875" style="24" customWidth="1"/>
    <col min="13579" max="13824" width="9" style="24"/>
    <col min="13825" max="13825" width="14" style="24" customWidth="1"/>
    <col min="13826" max="13826" width="12.42578125" style="24" customWidth="1"/>
    <col min="13827" max="13830" width="13.5703125" style="24" customWidth="1"/>
    <col min="13831" max="13832" width="12.5703125" style="24" customWidth="1"/>
    <col min="13833" max="13834" width="11.85546875" style="24" customWidth="1"/>
    <col min="13835" max="14080" width="9" style="24"/>
    <col min="14081" max="14081" width="14" style="24" customWidth="1"/>
    <col min="14082" max="14082" width="12.42578125" style="24" customWidth="1"/>
    <col min="14083" max="14086" width="13.5703125" style="24" customWidth="1"/>
    <col min="14087" max="14088" width="12.5703125" style="24" customWidth="1"/>
    <col min="14089" max="14090" width="11.85546875" style="24" customWidth="1"/>
    <col min="14091" max="14336" width="9" style="24"/>
    <col min="14337" max="14337" width="14" style="24" customWidth="1"/>
    <col min="14338" max="14338" width="12.42578125" style="24" customWidth="1"/>
    <col min="14339" max="14342" width="13.5703125" style="24" customWidth="1"/>
    <col min="14343" max="14344" width="12.5703125" style="24" customWidth="1"/>
    <col min="14345" max="14346" width="11.85546875" style="24" customWidth="1"/>
    <col min="14347" max="14592" width="9" style="24"/>
    <col min="14593" max="14593" width="14" style="24" customWidth="1"/>
    <col min="14594" max="14594" width="12.42578125" style="24" customWidth="1"/>
    <col min="14595" max="14598" width="13.5703125" style="24" customWidth="1"/>
    <col min="14599" max="14600" width="12.5703125" style="24" customWidth="1"/>
    <col min="14601" max="14602" width="11.85546875" style="24" customWidth="1"/>
    <col min="14603" max="14848" width="9" style="24"/>
    <col min="14849" max="14849" width="14" style="24" customWidth="1"/>
    <col min="14850" max="14850" width="12.42578125" style="24" customWidth="1"/>
    <col min="14851" max="14854" width="13.5703125" style="24" customWidth="1"/>
    <col min="14855" max="14856" width="12.5703125" style="24" customWidth="1"/>
    <col min="14857" max="14858" width="11.85546875" style="24" customWidth="1"/>
    <col min="14859" max="15104" width="9" style="24"/>
    <col min="15105" max="15105" width="14" style="24" customWidth="1"/>
    <col min="15106" max="15106" width="12.42578125" style="24" customWidth="1"/>
    <col min="15107" max="15110" width="13.5703125" style="24" customWidth="1"/>
    <col min="15111" max="15112" width="12.5703125" style="24" customWidth="1"/>
    <col min="15113" max="15114" width="11.85546875" style="24" customWidth="1"/>
    <col min="15115" max="15360" width="9" style="24"/>
    <col min="15361" max="15361" width="14" style="24" customWidth="1"/>
    <col min="15362" max="15362" width="12.42578125" style="24" customWidth="1"/>
    <col min="15363" max="15366" width="13.5703125" style="24" customWidth="1"/>
    <col min="15367" max="15368" width="12.5703125" style="24" customWidth="1"/>
    <col min="15369" max="15370" width="11.85546875" style="24" customWidth="1"/>
    <col min="15371" max="15616" width="9" style="24"/>
    <col min="15617" max="15617" width="14" style="24" customWidth="1"/>
    <col min="15618" max="15618" width="12.42578125" style="24" customWidth="1"/>
    <col min="15619" max="15622" width="13.5703125" style="24" customWidth="1"/>
    <col min="15623" max="15624" width="12.5703125" style="24" customWidth="1"/>
    <col min="15625" max="15626" width="11.85546875" style="24" customWidth="1"/>
    <col min="15627" max="15872" width="9" style="24"/>
    <col min="15873" max="15873" width="14" style="24" customWidth="1"/>
    <col min="15874" max="15874" width="12.42578125" style="24" customWidth="1"/>
    <col min="15875" max="15878" width="13.5703125" style="24" customWidth="1"/>
    <col min="15879" max="15880" width="12.5703125" style="24" customWidth="1"/>
    <col min="15881" max="15882" width="11.85546875" style="24" customWidth="1"/>
    <col min="15883" max="16128" width="9" style="24"/>
    <col min="16129" max="16129" width="14" style="24" customWidth="1"/>
    <col min="16130" max="16130" width="12.42578125" style="24" customWidth="1"/>
    <col min="16131" max="16134" width="13.5703125" style="24" customWidth="1"/>
    <col min="16135" max="16136" width="12.5703125" style="24" customWidth="1"/>
    <col min="16137" max="16138" width="11.85546875" style="24" customWidth="1"/>
    <col min="16139" max="16384" width="9" style="24"/>
  </cols>
  <sheetData>
    <row r="1" spans="1:10" ht="20.100000000000001" customHeight="1">
      <c r="A1" s="35" t="s">
        <v>145</v>
      </c>
      <c r="B1" s="24" t="s">
        <v>146</v>
      </c>
    </row>
    <row r="2" spans="1:10" ht="20.100000000000001" customHeight="1">
      <c r="A2" s="35" t="s">
        <v>147</v>
      </c>
      <c r="B2" s="24" t="s">
        <v>148</v>
      </c>
    </row>
    <row r="3" spans="1:10" ht="20.100000000000001" customHeight="1">
      <c r="A3" s="116" t="s">
        <v>141</v>
      </c>
      <c r="B3" s="116"/>
      <c r="C3" s="38" t="s">
        <v>101</v>
      </c>
      <c r="D3" s="38" t="s">
        <v>136</v>
      </c>
      <c r="E3" s="38" t="s">
        <v>149</v>
      </c>
      <c r="F3" s="38" t="s">
        <v>150</v>
      </c>
      <c r="G3" s="38" t="s">
        <v>138</v>
      </c>
      <c r="H3" s="38" t="s">
        <v>140</v>
      </c>
      <c r="I3" s="38" t="s">
        <v>137</v>
      </c>
      <c r="J3" s="38" t="s">
        <v>139</v>
      </c>
    </row>
    <row r="4" spans="1:10" ht="20.100000000000001" customHeight="1">
      <c r="A4" s="117">
        <v>2011</v>
      </c>
      <c r="B4" s="38" t="s">
        <v>151</v>
      </c>
      <c r="C4" s="41">
        <v>496893</v>
      </c>
      <c r="D4" s="41">
        <v>154723</v>
      </c>
      <c r="E4" s="41">
        <v>202856</v>
      </c>
      <c r="F4" s="41">
        <v>112646</v>
      </c>
      <c r="G4" s="41">
        <v>12190</v>
      </c>
      <c r="H4" s="41">
        <v>11245</v>
      </c>
      <c r="I4" s="41">
        <v>3233</v>
      </c>
      <c r="J4" s="39" t="s">
        <v>142</v>
      </c>
    </row>
    <row r="5" spans="1:10" ht="20.100000000000001" customHeight="1">
      <c r="A5" s="116"/>
      <c r="B5" s="38" t="s">
        <v>152</v>
      </c>
      <c r="C5" s="40">
        <v>100</v>
      </c>
      <c r="D5" s="40">
        <v>31.1</v>
      </c>
      <c r="E5" s="40">
        <v>40.799999999999997</v>
      </c>
      <c r="F5" s="40">
        <v>22.7</v>
      </c>
      <c r="G5" s="40">
        <v>2.5</v>
      </c>
      <c r="H5" s="40">
        <v>2.2999999999999998</v>
      </c>
      <c r="I5" s="40">
        <v>0.7</v>
      </c>
      <c r="J5" s="39" t="s">
        <v>142</v>
      </c>
    </row>
    <row r="6" spans="1:10" ht="20.100000000000001" customHeight="1">
      <c r="A6" s="117">
        <v>2012</v>
      </c>
      <c r="B6" s="38" t="s">
        <v>151</v>
      </c>
      <c r="C6" s="41">
        <v>509574</v>
      </c>
      <c r="D6" s="41">
        <v>150327</v>
      </c>
      <c r="E6" s="41">
        <v>202191</v>
      </c>
      <c r="F6" s="41">
        <v>125285</v>
      </c>
      <c r="G6" s="41">
        <v>12587</v>
      </c>
      <c r="H6" s="41">
        <v>15501</v>
      </c>
      <c r="I6" s="41">
        <v>3683</v>
      </c>
      <c r="J6" s="39" t="s">
        <v>142</v>
      </c>
    </row>
    <row r="7" spans="1:10" ht="20.100000000000001" customHeight="1">
      <c r="A7" s="116"/>
      <c r="B7" s="38" t="s">
        <v>152</v>
      </c>
      <c r="C7" s="40">
        <v>100</v>
      </c>
      <c r="D7" s="40">
        <v>29.5</v>
      </c>
      <c r="E7" s="40">
        <v>39.700000000000003</v>
      </c>
      <c r="F7" s="40">
        <v>24.6</v>
      </c>
      <c r="G7" s="40">
        <v>2.5</v>
      </c>
      <c r="H7" s="40">
        <v>3</v>
      </c>
      <c r="I7" s="40">
        <v>0.7</v>
      </c>
      <c r="J7" s="39" t="s">
        <v>142</v>
      </c>
    </row>
    <row r="8" spans="1:10" ht="20.100000000000001" customHeight="1">
      <c r="A8" s="117">
        <v>2013</v>
      </c>
      <c r="B8" s="38" t="s">
        <v>151</v>
      </c>
      <c r="C8" s="41">
        <v>517148</v>
      </c>
      <c r="D8" s="41">
        <v>138784</v>
      </c>
      <c r="E8" s="41">
        <v>204196</v>
      </c>
      <c r="F8" s="41">
        <v>139783</v>
      </c>
      <c r="G8" s="41">
        <v>14449</v>
      </c>
      <c r="H8" s="41">
        <v>15832</v>
      </c>
      <c r="I8" s="41">
        <v>4105</v>
      </c>
      <c r="J8" s="39" t="s">
        <v>142</v>
      </c>
    </row>
    <row r="9" spans="1:10" ht="20.100000000000001" customHeight="1">
      <c r="A9" s="116"/>
      <c r="B9" s="38" t="s">
        <v>152</v>
      </c>
      <c r="C9" s="40">
        <v>100</v>
      </c>
      <c r="D9" s="40">
        <v>26.8</v>
      </c>
      <c r="E9" s="40">
        <v>39.5</v>
      </c>
      <c r="F9" s="40">
        <v>27</v>
      </c>
      <c r="G9" s="40">
        <v>2.8</v>
      </c>
      <c r="H9" s="40">
        <v>3.1</v>
      </c>
      <c r="I9" s="40">
        <v>0.8</v>
      </c>
      <c r="J9" s="39" t="s">
        <v>142</v>
      </c>
    </row>
    <row r="10" spans="1:10" ht="20.100000000000001" customHeight="1">
      <c r="A10" s="117">
        <v>2014</v>
      </c>
      <c r="B10" s="38" t="s">
        <v>151</v>
      </c>
      <c r="C10" s="41">
        <v>521971</v>
      </c>
      <c r="D10" s="41">
        <v>156407</v>
      </c>
      <c r="E10" s="41">
        <v>207214</v>
      </c>
      <c r="F10" s="41">
        <v>127472</v>
      </c>
      <c r="G10" s="41">
        <v>17447</v>
      </c>
      <c r="H10" s="41">
        <v>8364</v>
      </c>
      <c r="I10" s="41">
        <v>5068</v>
      </c>
      <c r="J10" s="39" t="s">
        <v>142</v>
      </c>
    </row>
    <row r="11" spans="1:10" ht="20.100000000000001" customHeight="1">
      <c r="A11" s="116"/>
      <c r="B11" s="38" t="s">
        <v>152</v>
      </c>
      <c r="C11" s="40">
        <v>100</v>
      </c>
      <c r="D11" s="40">
        <v>30</v>
      </c>
      <c r="E11" s="40">
        <v>39.700000000000003</v>
      </c>
      <c r="F11" s="40">
        <v>24.4</v>
      </c>
      <c r="G11" s="40">
        <v>3.3</v>
      </c>
      <c r="H11" s="40">
        <v>1.6</v>
      </c>
      <c r="I11" s="40">
        <v>1</v>
      </c>
      <c r="J11" s="39" t="s">
        <v>142</v>
      </c>
    </row>
    <row r="12" spans="1:10" ht="20.100000000000001" customHeight="1">
      <c r="A12" s="117">
        <v>2015</v>
      </c>
      <c r="B12" s="38" t="s">
        <v>151</v>
      </c>
      <c r="C12" s="41">
        <v>528091</v>
      </c>
      <c r="D12" s="41">
        <v>164762</v>
      </c>
      <c r="E12" s="41">
        <v>211393</v>
      </c>
      <c r="F12" s="41">
        <v>118695</v>
      </c>
      <c r="G12" s="41">
        <v>19464</v>
      </c>
      <c r="H12" s="41">
        <v>10127</v>
      </c>
      <c r="I12" s="41">
        <v>3650</v>
      </c>
      <c r="J12" s="39" t="s">
        <v>142</v>
      </c>
    </row>
    <row r="13" spans="1:10" ht="20.100000000000001" customHeight="1">
      <c r="A13" s="116"/>
      <c r="B13" s="38" t="s">
        <v>152</v>
      </c>
      <c r="C13" s="40">
        <v>100</v>
      </c>
      <c r="D13" s="40">
        <v>31.2</v>
      </c>
      <c r="E13" s="40">
        <v>40</v>
      </c>
      <c r="F13" s="40">
        <v>22.5</v>
      </c>
      <c r="G13" s="40">
        <v>3.7</v>
      </c>
      <c r="H13" s="40">
        <v>1.9</v>
      </c>
      <c r="I13" s="40">
        <v>0.7</v>
      </c>
      <c r="J13" s="39" t="s">
        <v>142</v>
      </c>
    </row>
    <row r="14" spans="1:10" ht="20.100000000000001" customHeight="1">
      <c r="A14" s="117">
        <v>2016</v>
      </c>
      <c r="B14" s="38" t="s">
        <v>151</v>
      </c>
      <c r="C14" s="41">
        <v>540441</v>
      </c>
      <c r="D14" s="41">
        <v>161995</v>
      </c>
      <c r="E14" s="41">
        <v>213803</v>
      </c>
      <c r="F14" s="41">
        <v>121018</v>
      </c>
      <c r="G14" s="41">
        <v>25836</v>
      </c>
      <c r="H14" s="41">
        <v>14001</v>
      </c>
      <c r="I14" s="41">
        <v>3787</v>
      </c>
      <c r="J14" s="39" t="s">
        <v>142</v>
      </c>
    </row>
    <row r="15" spans="1:10" ht="20.100000000000001" customHeight="1">
      <c r="A15" s="116"/>
      <c r="B15" s="38" t="s">
        <v>152</v>
      </c>
      <c r="C15" s="40">
        <v>100</v>
      </c>
      <c r="D15" s="40">
        <v>30</v>
      </c>
      <c r="E15" s="40">
        <v>39.6</v>
      </c>
      <c r="F15" s="40">
        <v>22.4</v>
      </c>
      <c r="G15" s="40">
        <v>4.8</v>
      </c>
      <c r="H15" s="40">
        <v>2.6</v>
      </c>
      <c r="I15" s="40">
        <v>0.7</v>
      </c>
      <c r="J15" s="39" t="s">
        <v>142</v>
      </c>
    </row>
    <row r="16" spans="1:10" ht="20.100000000000001" customHeight="1">
      <c r="A16" s="117">
        <v>2017</v>
      </c>
      <c r="B16" s="38" t="s">
        <v>151</v>
      </c>
      <c r="C16" s="41">
        <v>553530</v>
      </c>
      <c r="D16" s="41">
        <v>148427</v>
      </c>
      <c r="E16" s="41">
        <v>238799</v>
      </c>
      <c r="F16" s="41">
        <v>126039</v>
      </c>
      <c r="G16" s="41">
        <v>30817</v>
      </c>
      <c r="H16" s="41">
        <v>5263</v>
      </c>
      <c r="I16" s="41">
        <v>4186</v>
      </c>
      <c r="J16" s="39" t="s">
        <v>142</v>
      </c>
    </row>
    <row r="17" spans="1:10" ht="20.100000000000001" customHeight="1">
      <c r="A17" s="116"/>
      <c r="B17" s="38" t="s">
        <v>152</v>
      </c>
      <c r="C17" s="40">
        <v>100</v>
      </c>
      <c r="D17" s="40">
        <v>26.8</v>
      </c>
      <c r="E17" s="40">
        <v>43.1</v>
      </c>
      <c r="F17" s="40">
        <v>22.8</v>
      </c>
      <c r="G17" s="40">
        <v>5.6</v>
      </c>
      <c r="H17" s="40">
        <v>1</v>
      </c>
      <c r="I17" s="40">
        <v>0.8</v>
      </c>
      <c r="J17" s="39" t="s">
        <v>142</v>
      </c>
    </row>
    <row r="18" spans="1:10" ht="20.100000000000001" customHeight="1">
      <c r="A18" s="117">
        <v>2018</v>
      </c>
      <c r="B18" s="38" t="s">
        <v>151</v>
      </c>
      <c r="C18" s="41">
        <v>570647</v>
      </c>
      <c r="D18" s="41">
        <v>133505</v>
      </c>
      <c r="E18" s="41">
        <v>238967</v>
      </c>
      <c r="F18" s="41">
        <v>152924</v>
      </c>
      <c r="G18" s="41">
        <v>35598</v>
      </c>
      <c r="H18" s="41">
        <v>5740</v>
      </c>
      <c r="I18" s="41">
        <v>3911</v>
      </c>
      <c r="J18" s="40">
        <v>0</v>
      </c>
    </row>
    <row r="19" spans="1:10" ht="20.100000000000001" customHeight="1">
      <c r="A19" s="116"/>
      <c r="B19" s="38" t="s">
        <v>152</v>
      </c>
      <c r="C19" s="40">
        <v>100</v>
      </c>
      <c r="D19" s="40">
        <v>23.4</v>
      </c>
      <c r="E19" s="40">
        <v>41.9</v>
      </c>
      <c r="F19" s="40">
        <v>26.8</v>
      </c>
      <c r="G19" s="40">
        <v>6.2</v>
      </c>
      <c r="H19" s="40">
        <v>1</v>
      </c>
      <c r="I19" s="40">
        <v>0.7</v>
      </c>
      <c r="J19" s="40">
        <v>0</v>
      </c>
    </row>
    <row r="20" spans="1:10" ht="20.100000000000001" customHeight="1">
      <c r="A20" s="117">
        <v>2019</v>
      </c>
      <c r="B20" s="38" t="s">
        <v>151</v>
      </c>
      <c r="C20" s="41">
        <v>563040</v>
      </c>
      <c r="D20" s="41">
        <v>145910</v>
      </c>
      <c r="E20" s="41">
        <v>227384</v>
      </c>
      <c r="F20" s="41">
        <v>144355</v>
      </c>
      <c r="G20" s="41">
        <v>36392</v>
      </c>
      <c r="H20" s="41">
        <v>3292</v>
      </c>
      <c r="I20" s="41">
        <v>3458</v>
      </c>
      <c r="J20" s="41">
        <v>2249</v>
      </c>
    </row>
    <row r="21" spans="1:10" ht="20.100000000000001" customHeight="1">
      <c r="A21" s="116"/>
      <c r="B21" s="38" t="s">
        <v>152</v>
      </c>
      <c r="C21" s="40">
        <v>100</v>
      </c>
      <c r="D21" s="40">
        <v>25.9</v>
      </c>
      <c r="E21" s="40">
        <v>40.4</v>
      </c>
      <c r="F21" s="40">
        <v>25.6</v>
      </c>
      <c r="G21" s="40">
        <v>6.5</v>
      </c>
      <c r="H21" s="40">
        <v>0.6</v>
      </c>
      <c r="I21" s="40">
        <v>0.6</v>
      </c>
      <c r="J21" s="40">
        <v>0.4</v>
      </c>
    </row>
    <row r="22" spans="1:10" ht="20.100000000000001" customHeight="1">
      <c r="A22" s="117">
        <v>2020</v>
      </c>
      <c r="B22" s="38" t="s">
        <v>151</v>
      </c>
      <c r="C22" s="41">
        <v>552162</v>
      </c>
      <c r="D22" s="41">
        <v>160184</v>
      </c>
      <c r="E22" s="41">
        <v>196333</v>
      </c>
      <c r="F22" s="41">
        <v>145911</v>
      </c>
      <c r="G22" s="41">
        <v>36527</v>
      </c>
      <c r="H22" s="41">
        <v>2255</v>
      </c>
      <c r="I22" s="41">
        <v>3271</v>
      </c>
      <c r="J22" s="41">
        <v>7681</v>
      </c>
    </row>
    <row r="23" spans="1:10" ht="20.100000000000001" customHeight="1">
      <c r="A23" s="116"/>
      <c r="B23" s="38" t="s">
        <v>152</v>
      </c>
      <c r="C23" s="40">
        <v>100</v>
      </c>
      <c r="D23" s="40">
        <v>29</v>
      </c>
      <c r="E23" s="40">
        <v>35.6</v>
      </c>
      <c r="F23" s="40">
        <v>26.4</v>
      </c>
      <c r="G23" s="40">
        <v>6.6</v>
      </c>
      <c r="H23" s="40">
        <v>0.4</v>
      </c>
      <c r="I23" s="40">
        <v>0.6</v>
      </c>
      <c r="J23" s="40">
        <v>1.4</v>
      </c>
    </row>
    <row r="24" spans="1:10" ht="20.100000000000001" customHeight="1">
      <c r="A24" s="35"/>
    </row>
  </sheetData>
  <mergeCells count="11">
    <mergeCell ref="A3:B3"/>
    <mergeCell ref="A16:A17"/>
    <mergeCell ref="A18:A19"/>
    <mergeCell ref="A20:A21"/>
    <mergeCell ref="A22:A23"/>
    <mergeCell ref="A4:A5"/>
    <mergeCell ref="A6:A7"/>
    <mergeCell ref="A8:A9"/>
    <mergeCell ref="A10:A11"/>
    <mergeCell ref="A12:A13"/>
    <mergeCell ref="A14:A15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22F5B-6921-4C54-9011-C5B31D5F2A1A}">
  <dimension ref="A1:AA24"/>
  <sheetViews>
    <sheetView workbookViewId="0">
      <selection activeCell="E30" sqref="E30:E31"/>
    </sheetView>
  </sheetViews>
  <sheetFormatPr defaultColWidth="9" defaultRowHeight="15"/>
  <cols>
    <col min="1" max="1" width="14.5703125" style="21" customWidth="1"/>
    <col min="2" max="2" width="15.5703125" style="21" customWidth="1"/>
    <col min="3" max="3" width="21.140625" style="21" customWidth="1"/>
    <col min="4" max="6" width="18.5703125" style="21" customWidth="1"/>
    <col min="7" max="7" width="14.140625" style="21" customWidth="1"/>
    <col min="8" max="9" width="16.42578125" style="21" customWidth="1"/>
    <col min="10" max="10" width="18.5703125" style="21" customWidth="1"/>
    <col min="11" max="11" width="14.140625" style="21" customWidth="1"/>
    <col min="12" max="12" width="18.5703125" style="21" customWidth="1"/>
    <col min="13" max="13" width="14.140625" style="21" customWidth="1"/>
    <col min="14" max="15" width="11.5703125" style="21" customWidth="1"/>
    <col min="16" max="17" width="16.42578125" style="21" customWidth="1"/>
    <col min="18" max="18" width="14.140625" style="21" customWidth="1"/>
    <col min="19" max="19" width="16.42578125" style="21" customWidth="1"/>
    <col min="20" max="20" width="11.5703125" style="21" customWidth="1"/>
    <col min="21" max="21" width="16.42578125" style="21" customWidth="1"/>
    <col min="22" max="22" width="18.5703125" style="21" customWidth="1"/>
    <col min="23" max="23" width="16.42578125" style="21" customWidth="1"/>
    <col min="24" max="24" width="18.5703125" style="21" customWidth="1"/>
    <col min="25" max="26" width="16.42578125" style="21" customWidth="1"/>
    <col min="27" max="27" width="14.140625" style="21" customWidth="1"/>
    <col min="28" max="16384" width="9" style="21"/>
  </cols>
  <sheetData>
    <row r="1" spans="1:27" ht="20.100000000000001" customHeight="1">
      <c r="A1" s="118" t="s">
        <v>153</v>
      </c>
      <c r="B1" s="118" t="s">
        <v>154</v>
      </c>
      <c r="C1" s="119" t="s">
        <v>135</v>
      </c>
      <c r="D1" s="119" t="s">
        <v>135</v>
      </c>
      <c r="E1" s="119" t="s">
        <v>135</v>
      </c>
      <c r="F1" s="119" t="s">
        <v>135</v>
      </c>
      <c r="G1" s="119" t="s">
        <v>135</v>
      </c>
      <c r="H1" s="119" t="s">
        <v>135</v>
      </c>
      <c r="I1" s="119" t="s">
        <v>135</v>
      </c>
      <c r="J1" s="119" t="s">
        <v>135</v>
      </c>
      <c r="K1" s="119" t="s">
        <v>135</v>
      </c>
      <c r="L1" s="119" t="s">
        <v>135</v>
      </c>
      <c r="M1" s="119" t="s">
        <v>135</v>
      </c>
      <c r="N1" s="119" t="s">
        <v>135</v>
      </c>
      <c r="O1" s="119" t="s">
        <v>135</v>
      </c>
      <c r="P1" s="119" t="s">
        <v>135</v>
      </c>
      <c r="Q1" s="119" t="s">
        <v>135</v>
      </c>
      <c r="R1" s="119" t="s">
        <v>135</v>
      </c>
      <c r="S1" s="119" t="s">
        <v>135</v>
      </c>
      <c r="T1" s="119" t="s">
        <v>135</v>
      </c>
      <c r="U1" s="119" t="s">
        <v>135</v>
      </c>
      <c r="V1" s="119" t="s">
        <v>135</v>
      </c>
      <c r="W1" s="119" t="s">
        <v>135</v>
      </c>
      <c r="X1" s="119" t="s">
        <v>135</v>
      </c>
      <c r="Y1" s="119" t="s">
        <v>135</v>
      </c>
      <c r="Z1" s="119" t="s">
        <v>135</v>
      </c>
      <c r="AA1" s="119" t="s">
        <v>135</v>
      </c>
    </row>
    <row r="2" spans="1:27" ht="20.100000000000001" customHeight="1">
      <c r="A2" s="119" t="s">
        <v>153</v>
      </c>
      <c r="B2" s="119" t="s">
        <v>154</v>
      </c>
      <c r="C2" s="42" t="s">
        <v>155</v>
      </c>
      <c r="D2" s="42" t="s">
        <v>136</v>
      </c>
      <c r="E2" s="119" t="s">
        <v>156</v>
      </c>
      <c r="F2" s="119" t="s">
        <v>156</v>
      </c>
      <c r="G2" s="119" t="s">
        <v>156</v>
      </c>
      <c r="H2" s="119" t="s">
        <v>156</v>
      </c>
      <c r="I2" s="119" t="s">
        <v>156</v>
      </c>
      <c r="J2" s="119" t="s">
        <v>157</v>
      </c>
      <c r="K2" s="119" t="s">
        <v>157</v>
      </c>
      <c r="L2" s="119" t="s">
        <v>157</v>
      </c>
      <c r="M2" s="119" t="s">
        <v>158</v>
      </c>
      <c r="N2" s="119" t="s">
        <v>158</v>
      </c>
      <c r="O2" s="119" t="s">
        <v>158</v>
      </c>
      <c r="P2" s="119" t="s">
        <v>159</v>
      </c>
      <c r="Q2" s="119" t="s">
        <v>159</v>
      </c>
      <c r="R2" s="119" t="s">
        <v>159</v>
      </c>
      <c r="S2" s="119" t="s">
        <v>159</v>
      </c>
      <c r="T2" s="119" t="s">
        <v>159</v>
      </c>
      <c r="U2" s="42" t="s">
        <v>137</v>
      </c>
      <c r="V2" s="119" t="s">
        <v>138</v>
      </c>
      <c r="W2" s="119" t="s">
        <v>138</v>
      </c>
      <c r="X2" s="119" t="s">
        <v>138</v>
      </c>
      <c r="Y2" s="119" t="s">
        <v>138</v>
      </c>
      <c r="Z2" s="119" t="s">
        <v>138</v>
      </c>
      <c r="AA2" s="42" t="s">
        <v>139</v>
      </c>
    </row>
    <row r="3" spans="1:27" ht="20.100000000000001" customHeight="1">
      <c r="A3" s="119" t="s">
        <v>153</v>
      </c>
      <c r="B3" s="119" t="s">
        <v>154</v>
      </c>
      <c r="C3" s="42" t="s">
        <v>160</v>
      </c>
      <c r="D3" s="42" t="s">
        <v>160</v>
      </c>
      <c r="E3" s="42" t="s">
        <v>160</v>
      </c>
      <c r="F3" s="42" t="s">
        <v>161</v>
      </c>
      <c r="G3" s="42" t="s">
        <v>162</v>
      </c>
      <c r="H3" s="42" t="s">
        <v>163</v>
      </c>
      <c r="I3" s="42" t="s">
        <v>164</v>
      </c>
      <c r="J3" s="42" t="s">
        <v>160</v>
      </c>
      <c r="K3" s="42" t="s">
        <v>165</v>
      </c>
      <c r="L3" s="42" t="s">
        <v>164</v>
      </c>
      <c r="M3" s="42" t="s">
        <v>160</v>
      </c>
      <c r="N3" s="42" t="s">
        <v>163</v>
      </c>
      <c r="O3" s="42" t="s">
        <v>165</v>
      </c>
      <c r="P3" s="42" t="s">
        <v>160</v>
      </c>
      <c r="Q3" s="42" t="s">
        <v>161</v>
      </c>
      <c r="R3" s="42" t="s">
        <v>140</v>
      </c>
      <c r="S3" s="42" t="s">
        <v>164</v>
      </c>
      <c r="T3" s="42" t="s">
        <v>139</v>
      </c>
      <c r="U3" s="42" t="s">
        <v>160</v>
      </c>
      <c r="V3" s="42" t="s">
        <v>160</v>
      </c>
      <c r="W3" s="42" t="s">
        <v>166</v>
      </c>
      <c r="X3" s="42" t="s">
        <v>167</v>
      </c>
      <c r="Y3" s="42" t="s">
        <v>168</v>
      </c>
      <c r="Z3" s="42" t="s">
        <v>139</v>
      </c>
      <c r="AA3" s="42" t="s">
        <v>160</v>
      </c>
    </row>
    <row r="4" spans="1:27" ht="20.100000000000001" customHeight="1">
      <c r="A4" s="43" t="s">
        <v>155</v>
      </c>
      <c r="B4" s="43" t="s">
        <v>160</v>
      </c>
      <c r="C4" s="44">
        <v>130978873</v>
      </c>
      <c r="D4" s="44">
        <v>23250000</v>
      </c>
      <c r="E4" s="44">
        <v>37950658</v>
      </c>
      <c r="F4" s="44">
        <v>34950658</v>
      </c>
      <c r="G4" s="44">
        <v>400000</v>
      </c>
      <c r="H4" s="44">
        <v>1200000</v>
      </c>
      <c r="I4" s="44">
        <v>1400000</v>
      </c>
      <c r="J4" s="44">
        <v>33012852</v>
      </c>
      <c r="K4" s="44">
        <v>612045</v>
      </c>
      <c r="L4" s="44">
        <v>32400807</v>
      </c>
      <c r="M4" s="44">
        <v>175680</v>
      </c>
      <c r="N4" s="44">
        <v>80000</v>
      </c>
      <c r="O4" s="44">
        <v>95680</v>
      </c>
      <c r="P4" s="44">
        <v>9190984</v>
      </c>
      <c r="Q4" s="44">
        <v>1502724</v>
      </c>
      <c r="R4" s="44">
        <v>259300</v>
      </c>
      <c r="S4" s="44">
        <v>7368960</v>
      </c>
      <c r="T4" s="44">
        <v>60000</v>
      </c>
      <c r="U4" s="44">
        <v>4700000</v>
      </c>
      <c r="V4" s="44">
        <v>20544895</v>
      </c>
      <c r="W4" s="44">
        <v>1805768</v>
      </c>
      <c r="X4" s="44">
        <v>14574793</v>
      </c>
      <c r="Y4" s="44">
        <v>1635802</v>
      </c>
      <c r="Z4" s="44">
        <v>2528532</v>
      </c>
      <c r="AA4" s="44">
        <v>366204</v>
      </c>
    </row>
    <row r="5" spans="1:27" ht="20.100000000000001" customHeight="1">
      <c r="A5" s="43" t="s">
        <v>169</v>
      </c>
      <c r="B5" s="43" t="s">
        <v>160</v>
      </c>
      <c r="C5" s="44">
        <v>129191273</v>
      </c>
      <c r="D5" s="44">
        <v>23250000</v>
      </c>
      <c r="E5" s="44">
        <v>37950658</v>
      </c>
      <c r="F5" s="44">
        <v>34950658</v>
      </c>
      <c r="G5" s="44">
        <v>400000</v>
      </c>
      <c r="H5" s="44">
        <v>1200000</v>
      </c>
      <c r="I5" s="44">
        <v>1400000</v>
      </c>
      <c r="J5" s="44">
        <v>33012852</v>
      </c>
      <c r="K5" s="44">
        <v>612045</v>
      </c>
      <c r="L5" s="44">
        <v>32400807</v>
      </c>
      <c r="M5" s="44">
        <v>175680</v>
      </c>
      <c r="N5" s="44">
        <v>80000</v>
      </c>
      <c r="O5" s="44">
        <v>95680</v>
      </c>
      <c r="P5" s="44">
        <v>9190984</v>
      </c>
      <c r="Q5" s="44">
        <v>1502724</v>
      </c>
      <c r="R5" s="44">
        <v>259300</v>
      </c>
      <c r="S5" s="44">
        <v>7368960</v>
      </c>
      <c r="T5" s="44">
        <v>60000</v>
      </c>
      <c r="U5" s="44">
        <v>4700000</v>
      </c>
      <c r="V5" s="44">
        <v>20544895</v>
      </c>
      <c r="W5" s="44">
        <v>1805768</v>
      </c>
      <c r="X5" s="44">
        <v>14574793</v>
      </c>
      <c r="Y5" s="44">
        <v>1635802</v>
      </c>
      <c r="Z5" s="44">
        <v>2528532</v>
      </c>
      <c r="AA5" s="44">
        <v>366204</v>
      </c>
    </row>
    <row r="6" spans="1:27" ht="20.100000000000001" customHeight="1">
      <c r="A6" s="45" t="s">
        <v>141</v>
      </c>
      <c r="B6" s="43" t="s">
        <v>170</v>
      </c>
      <c r="C6" s="44">
        <v>97103</v>
      </c>
      <c r="D6" s="44" t="s">
        <v>142</v>
      </c>
      <c r="E6" s="44" t="s">
        <v>142</v>
      </c>
      <c r="F6" s="44" t="s">
        <v>142</v>
      </c>
      <c r="G6" s="44" t="s">
        <v>142</v>
      </c>
      <c r="H6" s="44" t="s">
        <v>142</v>
      </c>
      <c r="I6" s="44" t="s">
        <v>142</v>
      </c>
      <c r="J6" s="44" t="s">
        <v>142</v>
      </c>
      <c r="K6" s="44" t="s">
        <v>142</v>
      </c>
      <c r="L6" s="44" t="s">
        <v>142</v>
      </c>
      <c r="M6" s="44">
        <v>95680</v>
      </c>
      <c r="N6" s="44" t="s">
        <v>142</v>
      </c>
      <c r="O6" s="44">
        <v>95680</v>
      </c>
      <c r="P6" s="44" t="s">
        <v>142</v>
      </c>
      <c r="Q6" s="44" t="s">
        <v>142</v>
      </c>
      <c r="R6" s="44" t="s">
        <v>142</v>
      </c>
      <c r="S6" s="44" t="s">
        <v>142</v>
      </c>
      <c r="T6" s="44" t="s">
        <v>142</v>
      </c>
      <c r="U6" s="44" t="s">
        <v>142</v>
      </c>
      <c r="V6" s="44">
        <v>1423</v>
      </c>
      <c r="W6" s="44">
        <v>700</v>
      </c>
      <c r="X6" s="44">
        <v>723</v>
      </c>
      <c r="Y6" s="44" t="s">
        <v>142</v>
      </c>
      <c r="Z6" s="44" t="s">
        <v>142</v>
      </c>
      <c r="AA6" s="44" t="s">
        <v>142</v>
      </c>
    </row>
    <row r="7" spans="1:27" ht="20.100000000000001" customHeight="1">
      <c r="A7" s="45" t="s">
        <v>141</v>
      </c>
      <c r="B7" s="43" t="s">
        <v>171</v>
      </c>
      <c r="C7" s="44">
        <v>28600394</v>
      </c>
      <c r="D7" s="44">
        <v>23250000</v>
      </c>
      <c r="E7" s="44" t="s">
        <v>142</v>
      </c>
      <c r="F7" s="44" t="s">
        <v>142</v>
      </c>
      <c r="G7" s="44" t="s">
        <v>142</v>
      </c>
      <c r="H7" s="44" t="s">
        <v>142</v>
      </c>
      <c r="I7" s="44" t="s">
        <v>142</v>
      </c>
      <c r="J7" s="44" t="s">
        <v>142</v>
      </c>
      <c r="K7" s="44" t="s">
        <v>142</v>
      </c>
      <c r="L7" s="44" t="s">
        <v>142</v>
      </c>
      <c r="M7" s="44" t="s">
        <v>142</v>
      </c>
      <c r="N7" s="44" t="s">
        <v>142</v>
      </c>
      <c r="O7" s="44" t="s">
        <v>142</v>
      </c>
      <c r="P7" s="44" t="s">
        <v>142</v>
      </c>
      <c r="Q7" s="44" t="s">
        <v>142</v>
      </c>
      <c r="R7" s="44" t="s">
        <v>142</v>
      </c>
      <c r="S7" s="44" t="s">
        <v>142</v>
      </c>
      <c r="T7" s="44" t="s">
        <v>142</v>
      </c>
      <c r="U7" s="44">
        <v>4700000</v>
      </c>
      <c r="V7" s="44">
        <v>650394</v>
      </c>
      <c r="W7" s="44">
        <v>606800</v>
      </c>
      <c r="X7" s="44">
        <v>42844</v>
      </c>
      <c r="Y7" s="44">
        <v>750</v>
      </c>
      <c r="Z7" s="44" t="s">
        <v>142</v>
      </c>
      <c r="AA7" s="44" t="s">
        <v>142</v>
      </c>
    </row>
    <row r="8" spans="1:27" ht="20.100000000000001" customHeight="1">
      <c r="A8" s="45" t="s">
        <v>141</v>
      </c>
      <c r="B8" s="43" t="s">
        <v>172</v>
      </c>
      <c r="C8" s="44">
        <v>10398395</v>
      </c>
      <c r="D8" s="44" t="s">
        <v>142</v>
      </c>
      <c r="E8" s="44">
        <v>8988600</v>
      </c>
      <c r="F8" s="44">
        <v>8988600</v>
      </c>
      <c r="G8" s="44" t="s">
        <v>142</v>
      </c>
      <c r="H8" s="44" t="s">
        <v>142</v>
      </c>
      <c r="I8" s="44" t="s">
        <v>142</v>
      </c>
      <c r="J8" s="44">
        <v>922064</v>
      </c>
      <c r="K8" s="44" t="s">
        <v>142</v>
      </c>
      <c r="L8" s="44">
        <v>922064</v>
      </c>
      <c r="M8" s="44" t="s">
        <v>142</v>
      </c>
      <c r="N8" s="44" t="s">
        <v>142</v>
      </c>
      <c r="O8" s="44" t="s">
        <v>142</v>
      </c>
      <c r="P8" s="44" t="s">
        <v>142</v>
      </c>
      <c r="Q8" s="44" t="s">
        <v>142</v>
      </c>
      <c r="R8" s="44" t="s">
        <v>142</v>
      </c>
      <c r="S8" s="44" t="s">
        <v>142</v>
      </c>
      <c r="T8" s="44" t="s">
        <v>142</v>
      </c>
      <c r="U8" s="44" t="s">
        <v>142</v>
      </c>
      <c r="V8" s="44">
        <v>487731</v>
      </c>
      <c r="W8" s="44">
        <v>18599</v>
      </c>
      <c r="X8" s="44">
        <v>33922</v>
      </c>
      <c r="Y8" s="44">
        <v>58300</v>
      </c>
      <c r="Z8" s="44">
        <v>376910</v>
      </c>
      <c r="AA8" s="44" t="s">
        <v>142</v>
      </c>
    </row>
    <row r="9" spans="1:27" ht="20.100000000000001" customHeight="1">
      <c r="A9" s="45" t="s">
        <v>141</v>
      </c>
      <c r="B9" s="43" t="s">
        <v>173</v>
      </c>
      <c r="C9" s="44">
        <v>10726134</v>
      </c>
      <c r="D9" s="44" t="s">
        <v>142</v>
      </c>
      <c r="E9" s="44">
        <v>6088058</v>
      </c>
      <c r="F9" s="44">
        <v>6088058</v>
      </c>
      <c r="G9" s="44" t="s">
        <v>142</v>
      </c>
      <c r="H9" s="44" t="s">
        <v>142</v>
      </c>
      <c r="I9" s="44" t="s">
        <v>142</v>
      </c>
      <c r="J9" s="44">
        <v>3779527</v>
      </c>
      <c r="K9" s="44" t="s">
        <v>142</v>
      </c>
      <c r="L9" s="44">
        <v>3779527</v>
      </c>
      <c r="M9" s="44">
        <v>80000</v>
      </c>
      <c r="N9" s="44">
        <v>80000</v>
      </c>
      <c r="O9" s="44" t="s">
        <v>142</v>
      </c>
      <c r="P9" s="44">
        <v>530441</v>
      </c>
      <c r="Q9" s="44" t="s">
        <v>142</v>
      </c>
      <c r="R9" s="44" t="s">
        <v>142</v>
      </c>
      <c r="S9" s="44">
        <v>530441</v>
      </c>
      <c r="T9" s="44" t="s">
        <v>142</v>
      </c>
      <c r="U9" s="44" t="s">
        <v>142</v>
      </c>
      <c r="V9" s="44">
        <v>238108</v>
      </c>
      <c r="W9" s="44">
        <v>12500</v>
      </c>
      <c r="X9" s="44">
        <v>15008</v>
      </c>
      <c r="Y9" s="44">
        <v>26000</v>
      </c>
      <c r="Z9" s="44">
        <v>184600</v>
      </c>
      <c r="AA9" s="44">
        <v>10000</v>
      </c>
    </row>
    <row r="10" spans="1:27" ht="20.100000000000001" customHeight="1">
      <c r="A10" s="45" t="s">
        <v>141</v>
      </c>
      <c r="B10" s="43" t="s">
        <v>174</v>
      </c>
      <c r="C10" s="44">
        <v>11361489</v>
      </c>
      <c r="D10" s="44" t="s">
        <v>142</v>
      </c>
      <c r="E10" s="44">
        <v>7500000</v>
      </c>
      <c r="F10" s="44">
        <v>6100000</v>
      </c>
      <c r="G10" s="44" t="s">
        <v>142</v>
      </c>
      <c r="H10" s="44" t="s">
        <v>142</v>
      </c>
      <c r="I10" s="44">
        <v>1400000</v>
      </c>
      <c r="J10" s="44">
        <v>3386900</v>
      </c>
      <c r="K10" s="44" t="s">
        <v>142</v>
      </c>
      <c r="L10" s="44">
        <v>3386900</v>
      </c>
      <c r="M10" s="44" t="s">
        <v>142</v>
      </c>
      <c r="N10" s="44" t="s">
        <v>142</v>
      </c>
      <c r="O10" s="44" t="s">
        <v>142</v>
      </c>
      <c r="P10" s="44" t="s">
        <v>142</v>
      </c>
      <c r="Q10" s="44" t="s">
        <v>142</v>
      </c>
      <c r="R10" s="44" t="s">
        <v>142</v>
      </c>
      <c r="S10" s="44" t="s">
        <v>142</v>
      </c>
      <c r="T10" s="44" t="s">
        <v>142</v>
      </c>
      <c r="U10" s="44" t="s">
        <v>142</v>
      </c>
      <c r="V10" s="44">
        <v>474589</v>
      </c>
      <c r="W10" s="44">
        <v>2200</v>
      </c>
      <c r="X10" s="44">
        <v>48099</v>
      </c>
      <c r="Y10" s="44">
        <v>16000</v>
      </c>
      <c r="Z10" s="44">
        <v>408290</v>
      </c>
      <c r="AA10" s="44" t="s">
        <v>142</v>
      </c>
    </row>
    <row r="11" spans="1:27" ht="20.100000000000001" customHeight="1">
      <c r="A11" s="45" t="s">
        <v>141</v>
      </c>
      <c r="B11" s="43" t="s">
        <v>175</v>
      </c>
      <c r="C11" s="44">
        <v>11431991</v>
      </c>
      <c r="D11" s="44" t="s">
        <v>142</v>
      </c>
      <c r="E11" s="44">
        <v>6044000</v>
      </c>
      <c r="F11" s="44">
        <v>6044000</v>
      </c>
      <c r="G11" s="44" t="s">
        <v>142</v>
      </c>
      <c r="H11" s="44" t="s">
        <v>142</v>
      </c>
      <c r="I11" s="44" t="s">
        <v>142</v>
      </c>
      <c r="J11" s="44">
        <v>5060845</v>
      </c>
      <c r="K11" s="44">
        <v>146245</v>
      </c>
      <c r="L11" s="44">
        <v>4914600</v>
      </c>
      <c r="M11" s="44" t="s">
        <v>142</v>
      </c>
      <c r="N11" s="44" t="s">
        <v>142</v>
      </c>
      <c r="O11" s="44" t="s">
        <v>142</v>
      </c>
      <c r="P11" s="44" t="s">
        <v>142</v>
      </c>
      <c r="Q11" s="44" t="s">
        <v>142</v>
      </c>
      <c r="R11" s="44" t="s">
        <v>142</v>
      </c>
      <c r="S11" s="44" t="s">
        <v>142</v>
      </c>
      <c r="T11" s="44" t="s">
        <v>142</v>
      </c>
      <c r="U11" s="44" t="s">
        <v>142</v>
      </c>
      <c r="V11" s="44">
        <v>327146</v>
      </c>
      <c r="W11" s="44">
        <v>2810</v>
      </c>
      <c r="X11" s="44">
        <v>26116</v>
      </c>
      <c r="Y11" s="44">
        <v>39500</v>
      </c>
      <c r="Z11" s="44">
        <v>258720</v>
      </c>
      <c r="AA11" s="44" t="s">
        <v>142</v>
      </c>
    </row>
    <row r="12" spans="1:27" ht="20.100000000000001" customHeight="1">
      <c r="A12" s="45" t="s">
        <v>141</v>
      </c>
      <c r="B12" s="43" t="s">
        <v>176</v>
      </c>
      <c r="C12" s="44">
        <v>11238189</v>
      </c>
      <c r="D12" s="44" t="s">
        <v>142</v>
      </c>
      <c r="E12" s="44">
        <v>8140000</v>
      </c>
      <c r="F12" s="44">
        <v>6540000</v>
      </c>
      <c r="G12" s="44">
        <v>400000</v>
      </c>
      <c r="H12" s="44">
        <v>1200000</v>
      </c>
      <c r="I12" s="44" t="s">
        <v>142</v>
      </c>
      <c r="J12" s="44">
        <v>2971900</v>
      </c>
      <c r="K12" s="44" t="s">
        <v>142</v>
      </c>
      <c r="L12" s="44">
        <v>2971900</v>
      </c>
      <c r="M12" s="44" t="s">
        <v>142</v>
      </c>
      <c r="N12" s="44" t="s">
        <v>142</v>
      </c>
      <c r="O12" s="44" t="s">
        <v>142</v>
      </c>
      <c r="P12" s="44" t="s">
        <v>142</v>
      </c>
      <c r="Q12" s="44" t="s">
        <v>142</v>
      </c>
      <c r="R12" s="44" t="s">
        <v>142</v>
      </c>
      <c r="S12" s="44" t="s">
        <v>142</v>
      </c>
      <c r="T12" s="44" t="s">
        <v>142</v>
      </c>
      <c r="U12" s="44" t="s">
        <v>142</v>
      </c>
      <c r="V12" s="44">
        <v>126289</v>
      </c>
      <c r="W12" s="44">
        <v>8198</v>
      </c>
      <c r="X12" s="44">
        <v>48811</v>
      </c>
      <c r="Y12" s="44">
        <v>3000</v>
      </c>
      <c r="Z12" s="44">
        <v>66280</v>
      </c>
      <c r="AA12" s="44" t="s">
        <v>142</v>
      </c>
    </row>
    <row r="13" spans="1:27" ht="20.100000000000001" customHeight="1">
      <c r="A13" s="45" t="s">
        <v>141</v>
      </c>
      <c r="B13" s="43" t="s">
        <v>177</v>
      </c>
      <c r="C13" s="44">
        <v>3197669</v>
      </c>
      <c r="D13" s="44" t="s">
        <v>142</v>
      </c>
      <c r="E13" s="44" t="s">
        <v>142</v>
      </c>
      <c r="F13" s="44" t="s">
        <v>142</v>
      </c>
      <c r="G13" s="44" t="s">
        <v>142</v>
      </c>
      <c r="H13" s="44" t="s">
        <v>142</v>
      </c>
      <c r="I13" s="44" t="s">
        <v>142</v>
      </c>
      <c r="J13" s="44">
        <v>3176000</v>
      </c>
      <c r="K13" s="44" t="s">
        <v>142</v>
      </c>
      <c r="L13" s="44">
        <v>3176000</v>
      </c>
      <c r="M13" s="44" t="s">
        <v>142</v>
      </c>
      <c r="N13" s="44" t="s">
        <v>142</v>
      </c>
      <c r="O13" s="44" t="s">
        <v>142</v>
      </c>
      <c r="P13" s="44" t="s">
        <v>142</v>
      </c>
      <c r="Q13" s="44" t="s">
        <v>142</v>
      </c>
      <c r="R13" s="44" t="s">
        <v>142</v>
      </c>
      <c r="S13" s="44" t="s">
        <v>142</v>
      </c>
      <c r="T13" s="44" t="s">
        <v>142</v>
      </c>
      <c r="U13" s="44" t="s">
        <v>142</v>
      </c>
      <c r="V13" s="44">
        <v>21669</v>
      </c>
      <c r="W13" s="44" t="s">
        <v>142</v>
      </c>
      <c r="X13" s="44">
        <v>14469</v>
      </c>
      <c r="Y13" s="44" t="s">
        <v>142</v>
      </c>
      <c r="Z13" s="44">
        <v>7200</v>
      </c>
      <c r="AA13" s="44" t="s">
        <v>142</v>
      </c>
    </row>
    <row r="14" spans="1:27" ht="20.100000000000001" customHeight="1">
      <c r="A14" s="45" t="s">
        <v>141</v>
      </c>
      <c r="B14" s="43" t="s">
        <v>178</v>
      </c>
      <c r="C14" s="44">
        <v>2467084</v>
      </c>
      <c r="D14" s="44" t="s">
        <v>142</v>
      </c>
      <c r="E14" s="44" t="s">
        <v>142</v>
      </c>
      <c r="F14" s="44" t="s">
        <v>142</v>
      </c>
      <c r="G14" s="44" t="s">
        <v>142</v>
      </c>
      <c r="H14" s="44" t="s">
        <v>142</v>
      </c>
      <c r="I14" s="44" t="s">
        <v>142</v>
      </c>
      <c r="J14" s="44">
        <v>2261750</v>
      </c>
      <c r="K14" s="44" t="s">
        <v>142</v>
      </c>
      <c r="L14" s="44">
        <v>2261750</v>
      </c>
      <c r="M14" s="44" t="s">
        <v>142</v>
      </c>
      <c r="N14" s="44" t="s">
        <v>142</v>
      </c>
      <c r="O14" s="44" t="s">
        <v>142</v>
      </c>
      <c r="P14" s="44" t="s">
        <v>142</v>
      </c>
      <c r="Q14" s="44" t="s">
        <v>142</v>
      </c>
      <c r="R14" s="44" t="s">
        <v>142</v>
      </c>
      <c r="S14" s="44" t="s">
        <v>142</v>
      </c>
      <c r="T14" s="44" t="s">
        <v>142</v>
      </c>
      <c r="U14" s="44" t="s">
        <v>142</v>
      </c>
      <c r="V14" s="44">
        <v>205334</v>
      </c>
      <c r="W14" s="44" t="s">
        <v>142</v>
      </c>
      <c r="X14" s="44">
        <v>334</v>
      </c>
      <c r="Y14" s="44" t="s">
        <v>142</v>
      </c>
      <c r="Z14" s="44">
        <v>205000</v>
      </c>
      <c r="AA14" s="44" t="s">
        <v>142</v>
      </c>
    </row>
    <row r="15" spans="1:27" ht="20.100000000000001" customHeight="1">
      <c r="A15" s="45" t="s">
        <v>141</v>
      </c>
      <c r="B15" s="43" t="s">
        <v>179</v>
      </c>
      <c r="C15" s="44">
        <v>2280523</v>
      </c>
      <c r="D15" s="44" t="s">
        <v>142</v>
      </c>
      <c r="E15" s="44" t="s">
        <v>142</v>
      </c>
      <c r="F15" s="44" t="s">
        <v>142</v>
      </c>
      <c r="G15" s="44" t="s">
        <v>142</v>
      </c>
      <c r="H15" s="44" t="s">
        <v>142</v>
      </c>
      <c r="I15" s="44" t="s">
        <v>142</v>
      </c>
      <c r="J15" s="44" t="s">
        <v>142</v>
      </c>
      <c r="K15" s="44" t="s">
        <v>142</v>
      </c>
      <c r="L15" s="44" t="s">
        <v>142</v>
      </c>
      <c r="M15" s="44" t="s">
        <v>142</v>
      </c>
      <c r="N15" s="44" t="s">
        <v>142</v>
      </c>
      <c r="O15" s="44" t="s">
        <v>142</v>
      </c>
      <c r="P15" s="44">
        <v>2220162</v>
      </c>
      <c r="Q15" s="44" t="s">
        <v>142</v>
      </c>
      <c r="R15" s="44">
        <v>145000</v>
      </c>
      <c r="S15" s="44">
        <v>2075162</v>
      </c>
      <c r="T15" s="44" t="s">
        <v>142</v>
      </c>
      <c r="U15" s="44" t="s">
        <v>142</v>
      </c>
      <c r="V15" s="44">
        <v>19921</v>
      </c>
      <c r="W15" s="44" t="s">
        <v>142</v>
      </c>
      <c r="X15" s="44">
        <v>2421</v>
      </c>
      <c r="Y15" s="44" t="s">
        <v>142</v>
      </c>
      <c r="Z15" s="44">
        <v>17500</v>
      </c>
      <c r="AA15" s="44">
        <v>40440</v>
      </c>
    </row>
    <row r="16" spans="1:27" ht="20.100000000000001" customHeight="1">
      <c r="A16" s="45" t="s">
        <v>141</v>
      </c>
      <c r="B16" s="43" t="s">
        <v>180</v>
      </c>
      <c r="C16" s="44">
        <v>1980900</v>
      </c>
      <c r="D16" s="44" t="s">
        <v>142</v>
      </c>
      <c r="E16" s="44" t="s">
        <v>142</v>
      </c>
      <c r="F16" s="44" t="s">
        <v>142</v>
      </c>
      <c r="G16" s="44" t="s">
        <v>142</v>
      </c>
      <c r="H16" s="44" t="s">
        <v>142</v>
      </c>
      <c r="I16" s="44" t="s">
        <v>142</v>
      </c>
      <c r="J16" s="44">
        <v>1855500</v>
      </c>
      <c r="K16" s="44">
        <v>465800</v>
      </c>
      <c r="L16" s="44">
        <v>1389700</v>
      </c>
      <c r="M16" s="44" t="s">
        <v>142</v>
      </c>
      <c r="N16" s="44" t="s">
        <v>142</v>
      </c>
      <c r="O16" s="44" t="s">
        <v>142</v>
      </c>
      <c r="P16" s="44" t="s">
        <v>142</v>
      </c>
      <c r="Q16" s="44" t="s">
        <v>142</v>
      </c>
      <c r="R16" s="44" t="s">
        <v>142</v>
      </c>
      <c r="S16" s="44" t="s">
        <v>142</v>
      </c>
      <c r="T16" s="44" t="s">
        <v>142</v>
      </c>
      <c r="U16" s="44" t="s">
        <v>142</v>
      </c>
      <c r="V16" s="44">
        <v>125400</v>
      </c>
      <c r="W16" s="44" t="s">
        <v>142</v>
      </c>
      <c r="X16" s="44" t="s">
        <v>142</v>
      </c>
      <c r="Y16" s="44" t="s">
        <v>142</v>
      </c>
      <c r="Z16" s="44">
        <v>125400</v>
      </c>
      <c r="AA16" s="44" t="s">
        <v>142</v>
      </c>
    </row>
    <row r="17" spans="1:27" ht="20.100000000000001" customHeight="1">
      <c r="A17" s="45" t="s">
        <v>141</v>
      </c>
      <c r="B17" s="43" t="s">
        <v>181</v>
      </c>
      <c r="C17" s="44">
        <v>1718662</v>
      </c>
      <c r="D17" s="44" t="s">
        <v>142</v>
      </c>
      <c r="E17" s="44" t="s">
        <v>142</v>
      </c>
      <c r="F17" s="44" t="s">
        <v>142</v>
      </c>
      <c r="G17" s="44" t="s">
        <v>142</v>
      </c>
      <c r="H17" s="44" t="s">
        <v>142</v>
      </c>
      <c r="I17" s="44" t="s">
        <v>142</v>
      </c>
      <c r="J17" s="44">
        <v>1716800</v>
      </c>
      <c r="K17" s="44" t="s">
        <v>142</v>
      </c>
      <c r="L17" s="44">
        <v>1716800</v>
      </c>
      <c r="M17" s="44" t="s">
        <v>142</v>
      </c>
      <c r="N17" s="44" t="s">
        <v>142</v>
      </c>
      <c r="O17" s="44" t="s">
        <v>142</v>
      </c>
      <c r="P17" s="44" t="s">
        <v>142</v>
      </c>
      <c r="Q17" s="44" t="s">
        <v>142</v>
      </c>
      <c r="R17" s="44" t="s">
        <v>142</v>
      </c>
      <c r="S17" s="44" t="s">
        <v>142</v>
      </c>
      <c r="T17" s="44" t="s">
        <v>142</v>
      </c>
      <c r="U17" s="44" t="s">
        <v>142</v>
      </c>
      <c r="V17" s="44">
        <v>1862</v>
      </c>
      <c r="W17" s="44" t="s">
        <v>142</v>
      </c>
      <c r="X17" s="44">
        <v>1862</v>
      </c>
      <c r="Y17" s="44" t="s">
        <v>142</v>
      </c>
      <c r="Z17" s="44" t="s">
        <v>142</v>
      </c>
      <c r="AA17" s="44" t="s">
        <v>142</v>
      </c>
    </row>
    <row r="18" spans="1:27" ht="20.100000000000001" customHeight="1">
      <c r="A18" s="45" t="s">
        <v>141</v>
      </c>
      <c r="B18" s="43" t="s">
        <v>182</v>
      </c>
      <c r="C18" s="44">
        <v>1715000</v>
      </c>
      <c r="D18" s="44" t="s">
        <v>142</v>
      </c>
      <c r="E18" s="44" t="s">
        <v>142</v>
      </c>
      <c r="F18" s="44" t="s">
        <v>142</v>
      </c>
      <c r="G18" s="44" t="s">
        <v>142</v>
      </c>
      <c r="H18" s="44" t="s">
        <v>142</v>
      </c>
      <c r="I18" s="44" t="s">
        <v>142</v>
      </c>
      <c r="J18" s="44">
        <v>1695200</v>
      </c>
      <c r="K18" s="44" t="s">
        <v>142</v>
      </c>
      <c r="L18" s="44">
        <v>1695200</v>
      </c>
      <c r="M18" s="44" t="s">
        <v>142</v>
      </c>
      <c r="N18" s="44" t="s">
        <v>142</v>
      </c>
      <c r="O18" s="44" t="s">
        <v>142</v>
      </c>
      <c r="P18" s="44" t="s">
        <v>142</v>
      </c>
      <c r="Q18" s="44" t="s">
        <v>142</v>
      </c>
      <c r="R18" s="44" t="s">
        <v>142</v>
      </c>
      <c r="S18" s="44" t="s">
        <v>142</v>
      </c>
      <c r="T18" s="44" t="s">
        <v>142</v>
      </c>
      <c r="U18" s="44" t="s">
        <v>142</v>
      </c>
      <c r="V18" s="44">
        <v>19800</v>
      </c>
      <c r="W18" s="44" t="s">
        <v>142</v>
      </c>
      <c r="X18" s="44" t="s">
        <v>142</v>
      </c>
      <c r="Y18" s="44" t="s">
        <v>142</v>
      </c>
      <c r="Z18" s="44">
        <v>19800</v>
      </c>
      <c r="AA18" s="44" t="s">
        <v>142</v>
      </c>
    </row>
    <row r="19" spans="1:27" ht="20.100000000000001" customHeight="1">
      <c r="A19" s="45" t="s">
        <v>141</v>
      </c>
      <c r="B19" s="43" t="s">
        <v>183</v>
      </c>
      <c r="C19" s="44">
        <v>1450664</v>
      </c>
      <c r="D19" s="44" t="s">
        <v>142</v>
      </c>
      <c r="E19" s="44" t="s">
        <v>142</v>
      </c>
      <c r="F19" s="44" t="s">
        <v>142</v>
      </c>
      <c r="G19" s="44" t="s">
        <v>142</v>
      </c>
      <c r="H19" s="44" t="s">
        <v>142</v>
      </c>
      <c r="I19" s="44" t="s">
        <v>142</v>
      </c>
      <c r="J19" s="44">
        <v>1450000</v>
      </c>
      <c r="K19" s="44" t="s">
        <v>142</v>
      </c>
      <c r="L19" s="44">
        <v>1450000</v>
      </c>
      <c r="M19" s="44" t="s">
        <v>142</v>
      </c>
      <c r="N19" s="44" t="s">
        <v>142</v>
      </c>
      <c r="O19" s="44" t="s">
        <v>142</v>
      </c>
      <c r="P19" s="44" t="s">
        <v>142</v>
      </c>
      <c r="Q19" s="44" t="s">
        <v>142</v>
      </c>
      <c r="R19" s="44" t="s">
        <v>142</v>
      </c>
      <c r="S19" s="44" t="s">
        <v>142</v>
      </c>
      <c r="T19" s="44" t="s">
        <v>142</v>
      </c>
      <c r="U19" s="44" t="s">
        <v>142</v>
      </c>
      <c r="V19" s="44">
        <v>664</v>
      </c>
      <c r="W19" s="44" t="s">
        <v>142</v>
      </c>
      <c r="X19" s="44">
        <v>664</v>
      </c>
      <c r="Y19" s="44" t="s">
        <v>142</v>
      </c>
      <c r="Z19" s="44" t="s">
        <v>142</v>
      </c>
      <c r="AA19" s="44" t="s">
        <v>142</v>
      </c>
    </row>
    <row r="20" spans="1:27" ht="20.100000000000001" customHeight="1">
      <c r="A20" s="45" t="s">
        <v>141</v>
      </c>
      <c r="B20" s="43" t="s">
        <v>184</v>
      </c>
      <c r="C20" s="44">
        <v>1409147</v>
      </c>
      <c r="D20" s="44" t="s">
        <v>142</v>
      </c>
      <c r="E20" s="44" t="s">
        <v>142</v>
      </c>
      <c r="F20" s="44" t="s">
        <v>142</v>
      </c>
      <c r="G20" s="44" t="s">
        <v>142</v>
      </c>
      <c r="H20" s="44" t="s">
        <v>142</v>
      </c>
      <c r="I20" s="44" t="s">
        <v>142</v>
      </c>
      <c r="J20" s="44" t="s">
        <v>142</v>
      </c>
      <c r="K20" s="44" t="s">
        <v>142</v>
      </c>
      <c r="L20" s="44" t="s">
        <v>142</v>
      </c>
      <c r="M20" s="44" t="s">
        <v>142</v>
      </c>
      <c r="N20" s="44" t="s">
        <v>142</v>
      </c>
      <c r="O20" s="44" t="s">
        <v>142</v>
      </c>
      <c r="P20" s="44">
        <v>1381690</v>
      </c>
      <c r="Q20" s="44" t="s">
        <v>142</v>
      </c>
      <c r="R20" s="44" t="s">
        <v>142</v>
      </c>
      <c r="S20" s="44">
        <v>1381690</v>
      </c>
      <c r="T20" s="44" t="s">
        <v>142</v>
      </c>
      <c r="U20" s="44" t="s">
        <v>142</v>
      </c>
      <c r="V20" s="44">
        <v>27457</v>
      </c>
      <c r="W20" s="44">
        <v>1030</v>
      </c>
      <c r="X20" s="44">
        <v>4017</v>
      </c>
      <c r="Y20" s="44">
        <v>7050</v>
      </c>
      <c r="Z20" s="44">
        <v>15360</v>
      </c>
      <c r="AA20" s="44" t="s">
        <v>142</v>
      </c>
    </row>
    <row r="21" spans="1:27" ht="20.100000000000001" customHeight="1">
      <c r="A21" s="45" t="s">
        <v>141</v>
      </c>
      <c r="B21" s="43" t="s">
        <v>185</v>
      </c>
      <c r="C21" s="44">
        <v>1366584</v>
      </c>
      <c r="D21" s="44" t="s">
        <v>142</v>
      </c>
      <c r="E21" s="44" t="s">
        <v>142</v>
      </c>
      <c r="F21" s="44" t="s">
        <v>142</v>
      </c>
      <c r="G21" s="44" t="s">
        <v>142</v>
      </c>
      <c r="H21" s="44" t="s">
        <v>142</v>
      </c>
      <c r="I21" s="44" t="s">
        <v>142</v>
      </c>
      <c r="J21" s="44" t="s">
        <v>142</v>
      </c>
      <c r="K21" s="44" t="s">
        <v>142</v>
      </c>
      <c r="L21" s="44" t="s">
        <v>142</v>
      </c>
      <c r="M21" s="44" t="s">
        <v>142</v>
      </c>
      <c r="N21" s="44" t="s">
        <v>142</v>
      </c>
      <c r="O21" s="44" t="s">
        <v>142</v>
      </c>
      <c r="P21" s="44" t="s">
        <v>142</v>
      </c>
      <c r="Q21" s="44" t="s">
        <v>142</v>
      </c>
      <c r="R21" s="44" t="s">
        <v>142</v>
      </c>
      <c r="S21" s="44" t="s">
        <v>142</v>
      </c>
      <c r="T21" s="44" t="s">
        <v>142</v>
      </c>
      <c r="U21" s="44" t="s">
        <v>142</v>
      </c>
      <c r="V21" s="44">
        <v>1366584</v>
      </c>
      <c r="W21" s="44">
        <v>1089657</v>
      </c>
      <c r="X21" s="44">
        <v>14927</v>
      </c>
      <c r="Y21" s="44">
        <v>8000</v>
      </c>
      <c r="Z21" s="44">
        <v>254000</v>
      </c>
      <c r="AA21" s="44" t="s">
        <v>142</v>
      </c>
    </row>
    <row r="22" spans="1:27" ht="20.100000000000001" customHeight="1">
      <c r="A22" s="45" t="s">
        <v>141</v>
      </c>
      <c r="B22" s="43" t="s">
        <v>186</v>
      </c>
      <c r="C22" s="44">
        <v>1200101</v>
      </c>
      <c r="D22" s="44" t="s">
        <v>142</v>
      </c>
      <c r="E22" s="44">
        <v>1190000</v>
      </c>
      <c r="F22" s="44">
        <v>1190000</v>
      </c>
      <c r="G22" s="44" t="s">
        <v>142</v>
      </c>
      <c r="H22" s="44" t="s">
        <v>142</v>
      </c>
      <c r="I22" s="44" t="s">
        <v>142</v>
      </c>
      <c r="J22" s="44" t="s">
        <v>142</v>
      </c>
      <c r="K22" s="44" t="s">
        <v>142</v>
      </c>
      <c r="L22" s="44" t="s">
        <v>142</v>
      </c>
      <c r="M22" s="44" t="s">
        <v>142</v>
      </c>
      <c r="N22" s="44" t="s">
        <v>142</v>
      </c>
      <c r="O22" s="44" t="s">
        <v>142</v>
      </c>
      <c r="P22" s="44" t="s">
        <v>142</v>
      </c>
      <c r="Q22" s="44" t="s">
        <v>142</v>
      </c>
      <c r="R22" s="44" t="s">
        <v>142</v>
      </c>
      <c r="S22" s="44" t="s">
        <v>142</v>
      </c>
      <c r="T22" s="44" t="s">
        <v>142</v>
      </c>
      <c r="U22" s="44" t="s">
        <v>142</v>
      </c>
      <c r="V22" s="44">
        <v>10101</v>
      </c>
      <c r="W22" s="44">
        <v>5000</v>
      </c>
      <c r="X22" s="44">
        <v>5101</v>
      </c>
      <c r="Y22" s="44" t="s">
        <v>142</v>
      </c>
      <c r="Z22" s="44" t="s">
        <v>142</v>
      </c>
      <c r="AA22" s="44" t="s">
        <v>142</v>
      </c>
    </row>
    <row r="23" spans="1:27" ht="20.100000000000001" customHeight="1">
      <c r="A23" s="45" t="s">
        <v>141</v>
      </c>
      <c r="B23" s="43" t="s">
        <v>139</v>
      </c>
      <c r="C23" s="44">
        <v>26551244</v>
      </c>
      <c r="D23" s="44" t="s">
        <v>142</v>
      </c>
      <c r="E23" s="44" t="s">
        <v>142</v>
      </c>
      <c r="F23" s="44" t="s">
        <v>142</v>
      </c>
      <c r="G23" s="44" t="s">
        <v>142</v>
      </c>
      <c r="H23" s="44" t="s">
        <v>142</v>
      </c>
      <c r="I23" s="44" t="s">
        <v>142</v>
      </c>
      <c r="J23" s="44">
        <v>4736366</v>
      </c>
      <c r="K23" s="44" t="s">
        <v>142</v>
      </c>
      <c r="L23" s="44">
        <v>4736366</v>
      </c>
      <c r="M23" s="44" t="s">
        <v>142</v>
      </c>
      <c r="N23" s="44" t="s">
        <v>142</v>
      </c>
      <c r="O23" s="44" t="s">
        <v>142</v>
      </c>
      <c r="P23" s="44">
        <v>5058691</v>
      </c>
      <c r="Q23" s="44">
        <v>1502724</v>
      </c>
      <c r="R23" s="44">
        <v>114300</v>
      </c>
      <c r="S23" s="44">
        <v>3381667</v>
      </c>
      <c r="T23" s="44">
        <v>60000</v>
      </c>
      <c r="U23" s="44" t="s">
        <v>142</v>
      </c>
      <c r="V23" s="44">
        <v>16440423</v>
      </c>
      <c r="W23" s="44">
        <v>58274</v>
      </c>
      <c r="X23" s="44">
        <v>14315474</v>
      </c>
      <c r="Y23" s="44">
        <v>1477202</v>
      </c>
      <c r="Z23" s="44">
        <v>589472</v>
      </c>
      <c r="AA23" s="44">
        <v>315764</v>
      </c>
    </row>
    <row r="24" spans="1:27" ht="20.100000000000001" customHeight="1">
      <c r="A24" s="46" t="s">
        <v>187</v>
      </c>
      <c r="B24" s="46" t="s">
        <v>160</v>
      </c>
      <c r="C24" s="44">
        <v>1787600</v>
      </c>
      <c r="D24" s="44" t="s">
        <v>142</v>
      </c>
      <c r="E24" s="44" t="s">
        <v>142</v>
      </c>
      <c r="F24" s="44" t="s">
        <v>142</v>
      </c>
      <c r="G24" s="44" t="s">
        <v>142</v>
      </c>
      <c r="H24" s="44" t="s">
        <v>142</v>
      </c>
      <c r="I24" s="44" t="s">
        <v>142</v>
      </c>
      <c r="J24" s="44" t="s">
        <v>142</v>
      </c>
      <c r="K24" s="44" t="s">
        <v>142</v>
      </c>
      <c r="L24" s="44" t="s">
        <v>142</v>
      </c>
      <c r="M24" s="44" t="s">
        <v>142</v>
      </c>
      <c r="N24" s="44" t="s">
        <v>142</v>
      </c>
      <c r="O24" s="44" t="s">
        <v>142</v>
      </c>
      <c r="P24" s="44" t="s">
        <v>142</v>
      </c>
      <c r="Q24" s="44" t="s">
        <v>142</v>
      </c>
      <c r="R24" s="44" t="s">
        <v>142</v>
      </c>
      <c r="S24" s="44" t="s">
        <v>142</v>
      </c>
      <c r="T24" s="44" t="s">
        <v>142</v>
      </c>
      <c r="U24" s="44" t="s">
        <v>142</v>
      </c>
      <c r="V24" s="44" t="s">
        <v>142</v>
      </c>
      <c r="W24" s="44" t="s">
        <v>142</v>
      </c>
      <c r="X24" s="44" t="s">
        <v>142</v>
      </c>
      <c r="Y24" s="44" t="s">
        <v>142</v>
      </c>
      <c r="Z24" s="44" t="s">
        <v>142</v>
      </c>
      <c r="AA24" s="44" t="s">
        <v>142</v>
      </c>
    </row>
  </sheetData>
  <mergeCells count="8">
    <mergeCell ref="A1:A3"/>
    <mergeCell ref="B1:B3"/>
    <mergeCell ref="C1:AA1"/>
    <mergeCell ref="E2:I2"/>
    <mergeCell ref="J2:L2"/>
    <mergeCell ref="M2:O2"/>
    <mergeCell ref="P2:T2"/>
    <mergeCell ref="V2:Z2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0"/>
  <sheetViews>
    <sheetView workbookViewId="0">
      <selection activeCell="E17" sqref="E17"/>
    </sheetView>
  </sheetViews>
  <sheetFormatPr defaultColWidth="9.140625" defaultRowHeight="15"/>
  <cols>
    <col min="1" max="1" width="22.42578125" style="4" customWidth="1"/>
    <col min="2" max="2" width="42.5703125" style="4" customWidth="1"/>
    <col min="3" max="3" width="17.42578125" style="4" customWidth="1"/>
    <col min="4" max="4" width="21.5703125" style="4" bestFit="1" customWidth="1"/>
    <col min="5" max="17" width="10.5703125" style="4" customWidth="1"/>
    <col min="18" max="16384" width="9.140625" style="4"/>
  </cols>
  <sheetData>
    <row r="1" spans="1:37" s="1" customFormat="1">
      <c r="A1" s="1" t="s">
        <v>1</v>
      </c>
      <c r="B1" s="1" t="s">
        <v>24</v>
      </c>
      <c r="C1" s="1" t="s">
        <v>25</v>
      </c>
      <c r="D1" s="1" t="s">
        <v>10</v>
      </c>
      <c r="E1" s="6">
        <v>2018</v>
      </c>
      <c r="F1" s="6">
        <v>2019</v>
      </c>
      <c r="G1" s="6">
        <v>2020</v>
      </c>
      <c r="H1" s="6">
        <v>2021</v>
      </c>
      <c r="I1" s="6">
        <v>2022</v>
      </c>
      <c r="J1" s="6">
        <v>2023</v>
      </c>
      <c r="K1" s="6">
        <v>2024</v>
      </c>
      <c r="L1" s="6">
        <v>2025</v>
      </c>
      <c r="M1" s="6">
        <v>2026</v>
      </c>
      <c r="N1" s="6">
        <v>2027</v>
      </c>
      <c r="O1" s="6">
        <v>2028</v>
      </c>
      <c r="P1" s="6">
        <v>2029</v>
      </c>
      <c r="Q1" s="6">
        <v>2030</v>
      </c>
      <c r="R1" s="6">
        <v>2031</v>
      </c>
      <c r="S1" s="6">
        <v>2032</v>
      </c>
      <c r="T1" s="6">
        <v>2033</v>
      </c>
      <c r="U1" s="6">
        <v>2034</v>
      </c>
      <c r="V1" s="6">
        <v>2035</v>
      </c>
      <c r="W1" s="6">
        <v>2036</v>
      </c>
      <c r="X1" s="6">
        <v>2037</v>
      </c>
      <c r="Y1" s="6">
        <v>2038</v>
      </c>
      <c r="Z1" s="6">
        <v>2039</v>
      </c>
      <c r="AA1" s="6">
        <v>2040</v>
      </c>
      <c r="AB1" s="6">
        <v>2041</v>
      </c>
      <c r="AC1" s="6">
        <v>2042</v>
      </c>
      <c r="AD1" s="6">
        <v>2043</v>
      </c>
      <c r="AE1" s="6">
        <v>2044</v>
      </c>
      <c r="AF1" s="6">
        <v>2045</v>
      </c>
      <c r="AG1" s="6">
        <v>2046</v>
      </c>
      <c r="AH1" s="6">
        <v>2047</v>
      </c>
      <c r="AI1" s="6">
        <v>2048</v>
      </c>
      <c r="AJ1" s="6">
        <v>2049</v>
      </c>
      <c r="AK1" s="6">
        <v>2050</v>
      </c>
    </row>
    <row r="2" spans="1:37">
      <c r="A2" s="2" t="s">
        <v>5</v>
      </c>
      <c r="B2" s="2" t="s">
        <v>270</v>
      </c>
      <c r="C2" s="2" t="s">
        <v>26</v>
      </c>
      <c r="D2" s="2"/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3">
        <v>0</v>
      </c>
      <c r="AJ2" s="13">
        <v>0</v>
      </c>
      <c r="AK2" s="13">
        <v>0</v>
      </c>
    </row>
    <row r="3" spans="1:37">
      <c r="A3" s="5" t="s">
        <v>6</v>
      </c>
      <c r="B3" s="2" t="s">
        <v>94</v>
      </c>
      <c r="C3" s="2" t="s">
        <v>26</v>
      </c>
      <c r="D3" s="2" t="s">
        <v>191</v>
      </c>
      <c r="E3" s="14">
        <f>1070*10^5/About!$B$91</f>
        <v>90685.65132638358</v>
      </c>
      <c r="F3" s="7">
        <f>19528*10^5/About!$B$91</f>
        <v>1655055.5131790829</v>
      </c>
      <c r="G3" s="49">
        <f>F3</f>
        <v>1655055.5131790829</v>
      </c>
      <c r="H3" s="7"/>
      <c r="I3" s="7"/>
      <c r="J3" s="7"/>
      <c r="K3" s="7"/>
      <c r="L3" s="7"/>
      <c r="M3" s="7"/>
      <c r="N3" s="7"/>
      <c r="O3" s="7"/>
      <c r="P3" s="7"/>
      <c r="Q3" s="7"/>
    </row>
    <row r="4" spans="1:37">
      <c r="A4" s="2" t="s">
        <v>4</v>
      </c>
      <c r="B4" s="2" t="s">
        <v>270</v>
      </c>
      <c r="C4" s="2" t="s">
        <v>26</v>
      </c>
      <c r="D4" s="2"/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</row>
    <row r="5" spans="1:37">
      <c r="A5" s="2" t="s">
        <v>7</v>
      </c>
      <c r="B5" s="18" t="s">
        <v>93</v>
      </c>
      <c r="C5" s="2" t="s">
        <v>26</v>
      </c>
      <c r="D5" s="2" t="s">
        <v>191</v>
      </c>
      <c r="E5" s="114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37">
      <c r="A6" s="2" t="s">
        <v>98</v>
      </c>
      <c r="B6" s="2" t="s">
        <v>270</v>
      </c>
      <c r="C6" s="2" t="s">
        <v>26</v>
      </c>
      <c r="D6" s="2"/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</row>
    <row r="7" spans="1:37">
      <c r="A7" s="2" t="s">
        <v>61</v>
      </c>
      <c r="B7" s="2" t="s">
        <v>270</v>
      </c>
      <c r="C7" s="2" t="s">
        <v>26</v>
      </c>
      <c r="D7" s="2"/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</row>
    <row r="8" spans="1:37">
      <c r="A8" s="2" t="s">
        <v>60</v>
      </c>
      <c r="B8" s="2" t="s">
        <v>270</v>
      </c>
      <c r="C8" s="2" t="s">
        <v>26</v>
      </c>
      <c r="D8" s="2"/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</row>
    <row r="9" spans="1:37" s="16" customFormat="1">
      <c r="A9" s="15" t="s">
        <v>27</v>
      </c>
      <c r="B9" s="2" t="s">
        <v>270</v>
      </c>
      <c r="C9" s="15" t="s">
        <v>26</v>
      </c>
      <c r="D9" s="2"/>
      <c r="E9" s="114">
        <v>0</v>
      </c>
      <c r="F9" s="114">
        <v>0</v>
      </c>
      <c r="G9" s="114">
        <v>0</v>
      </c>
      <c r="H9" s="114">
        <v>0</v>
      </c>
      <c r="I9" s="114">
        <v>0</v>
      </c>
      <c r="J9" s="114">
        <v>0</v>
      </c>
      <c r="K9" s="114">
        <v>0</v>
      </c>
      <c r="L9" s="114">
        <v>0</v>
      </c>
      <c r="M9" s="114">
        <v>0</v>
      </c>
      <c r="N9" s="114">
        <v>0</v>
      </c>
      <c r="O9" s="114">
        <v>0</v>
      </c>
      <c r="P9" s="114">
        <v>0</v>
      </c>
      <c r="Q9" s="114">
        <v>0</v>
      </c>
      <c r="R9" s="114">
        <v>0</v>
      </c>
      <c r="S9" s="114">
        <v>0</v>
      </c>
      <c r="T9" s="114">
        <v>0</v>
      </c>
      <c r="U9" s="114">
        <v>0</v>
      </c>
      <c r="V9" s="114">
        <v>0</v>
      </c>
      <c r="W9" s="114">
        <v>0</v>
      </c>
      <c r="X9" s="114">
        <v>0</v>
      </c>
      <c r="Y9" s="114">
        <v>0</v>
      </c>
      <c r="Z9" s="114">
        <v>0</v>
      </c>
      <c r="AA9" s="114">
        <v>0</v>
      </c>
      <c r="AB9" s="114">
        <v>0</v>
      </c>
      <c r="AC9" s="114">
        <v>0</v>
      </c>
      <c r="AD9" s="114">
        <v>0</v>
      </c>
      <c r="AE9" s="114">
        <v>0</v>
      </c>
      <c r="AF9" s="114">
        <v>0</v>
      </c>
      <c r="AG9" s="114">
        <v>0</v>
      </c>
      <c r="AH9" s="114">
        <v>0</v>
      </c>
      <c r="AI9" s="114">
        <v>0</v>
      </c>
      <c r="AJ9" s="114">
        <v>0</v>
      </c>
      <c r="AK9" s="114">
        <v>0</v>
      </c>
    </row>
    <row r="11" spans="1:37" s="24" customFormat="1">
      <c r="D11" s="19" t="s">
        <v>188</v>
      </c>
      <c r="G11" s="19" t="s">
        <v>189</v>
      </c>
    </row>
    <row r="12" spans="1:37" s="24" customFormat="1">
      <c r="D12" s="24" t="s">
        <v>143</v>
      </c>
      <c r="E12" s="37">
        <f>'발전사별 설비용량'!F5</f>
        <v>34950658</v>
      </c>
      <c r="F12" s="24" t="s">
        <v>124</v>
      </c>
      <c r="G12" s="47">
        <f>E12/SUM($E$12:$E$13)</f>
        <v>0.98868479336367654</v>
      </c>
    </row>
    <row r="13" spans="1:37" s="24" customFormat="1">
      <c r="D13" s="24" t="s">
        <v>144</v>
      </c>
      <c r="E13" s="37">
        <f>'발전사별 설비용량'!G5</f>
        <v>400000</v>
      </c>
      <c r="F13" s="24" t="s">
        <v>124</v>
      </c>
      <c r="G13" s="47">
        <f>E13/SUM($E$12:$E$13)</f>
        <v>1.1315206636323431E-2</v>
      </c>
    </row>
    <row r="14" spans="1:37" s="24" customFormat="1"/>
    <row r="15" spans="1:37" s="24" customFormat="1">
      <c r="D15" s="19" t="s">
        <v>225</v>
      </c>
    </row>
    <row r="16" spans="1:37" s="24" customFormat="1">
      <c r="D16" s="19" t="s">
        <v>190</v>
      </c>
      <c r="E16" s="50">
        <v>2011</v>
      </c>
      <c r="F16" s="50">
        <v>2012</v>
      </c>
      <c r="G16" s="50">
        <v>2013</v>
      </c>
      <c r="H16" s="50">
        <v>2014</v>
      </c>
      <c r="I16" s="50">
        <v>2015</v>
      </c>
      <c r="J16" s="50">
        <v>2016</v>
      </c>
      <c r="K16" s="50">
        <v>2017</v>
      </c>
      <c r="L16" s="50">
        <v>2018</v>
      </c>
      <c r="M16" s="50">
        <v>2019</v>
      </c>
      <c r="N16" s="50">
        <v>2020</v>
      </c>
    </row>
    <row r="17" spans="1:14" s="24" customFormat="1">
      <c r="D17" s="24" t="s">
        <v>143</v>
      </c>
      <c r="E17" s="48">
        <f>(INDEX('에너지원별 발전량'!$E$4:$E$23,MATCH('Subsidies Paid'!E16,'에너지원별 발전량'!$A$4:$A$23,0)))*10^3-E18</f>
        <v>200560642.44258198</v>
      </c>
      <c r="F17" s="48">
        <f>(INDEX('에너지원별 발전량'!$E$4:$E$23,MATCH('Subsidies Paid'!F16,'에너지원별 발전량'!$A$4:$A$23,0)))*10^3-F18</f>
        <v>199903167.05499512</v>
      </c>
      <c r="G17" s="48">
        <f>(INDEX('에너지원별 발전량'!$E$4:$E$23,MATCH('Subsidies Paid'!G16,'에너지원별 발전량'!$A$4:$A$23,0)))*10^3-G18</f>
        <v>201885480.0656893</v>
      </c>
      <c r="H17" s="48">
        <f>(INDEX('에너지원별 발전량'!$E$4:$E$23,MATCH('Subsidies Paid'!H16,'에너지원별 발전량'!$A$4:$A$23,0)))*10^3-H18</f>
        <v>204869330.77206087</v>
      </c>
      <c r="I17" s="48">
        <f>(INDEX('에너지원별 발전량'!$E$4:$E$23,MATCH('Subsidies Paid'!I16,'에너지원별 발전량'!$A$4:$A$23,0)))*10^3-I18</f>
        <v>209001044.52352768</v>
      </c>
      <c r="J17" s="48">
        <f>(INDEX('에너지원별 발전량'!$E$4:$E$23,MATCH('Subsidies Paid'!J16,'에너지원별 발전량'!$A$4:$A$23,0)))*10^3-J18</f>
        <v>211383774.87553415</v>
      </c>
      <c r="K17" s="48">
        <f>(INDEX('에너지원별 발전량'!$E$4:$E$23,MATCH('Subsidies Paid'!K16,'에너지원별 발전량'!$A$4:$A$23,0)))*10^3-K18</f>
        <v>236096939.97045261</v>
      </c>
      <c r="L17" s="48">
        <f>(INDEX('에너지원별 발전량'!$E$4:$E$23,MATCH('Subsidies Paid'!L16,'에너지원별 발전량'!$A$4:$A$23,0)))*10^3-L18</f>
        <v>236263039.01573771</v>
      </c>
      <c r="M17" s="48">
        <f>(INDEX('에너지원별 발전량'!$E$4:$E$23,MATCH('Subsidies Paid'!M16,'에너지원별 발전량'!$A$4:$A$23,0)))*10^3-M18</f>
        <v>224811103.05420622</v>
      </c>
      <c r="N17" s="48">
        <f>(INDEX('에너지원별 발전량'!$E$4:$E$23,MATCH('Subsidies Paid'!N16,'에너지원별 발전량'!$A$4:$A$23,0)))*10^3-N18</f>
        <v>194111451.53547072</v>
      </c>
    </row>
    <row r="18" spans="1:14" s="24" customFormat="1">
      <c r="B18" s="24" t="s">
        <v>132</v>
      </c>
      <c r="D18" s="24" t="s">
        <v>144</v>
      </c>
      <c r="E18" s="48">
        <f>($G$13*INDEX('에너지원별 발전량'!$E$4:$E$23,MATCH('Subsidies Paid'!E16,'에너지원별 발전량'!$A$4:$A$23,0)))*10^3</f>
        <v>2295357.557418026</v>
      </c>
      <c r="F18" s="48">
        <f>($G$13*INDEX('에너지원별 발전량'!$E$4:$E$23,MATCH('Subsidies Paid'!F16,'에너지원별 발전량'!$A$4:$A$23,0)))*10^3</f>
        <v>2287832.9450048711</v>
      </c>
      <c r="G18" s="48">
        <f>($G$13*INDEX('에너지원별 발전량'!$E$4:$E$23,MATCH('Subsidies Paid'!G16,'에너지원별 발전량'!$A$4:$A$23,0)))*10^3</f>
        <v>2310519.9343106993</v>
      </c>
      <c r="H18" s="48">
        <f>($G$13*INDEX('에너지원별 발전량'!$E$4:$E$23,MATCH('Subsidies Paid'!H16,'에너지원별 발전량'!$A$4:$A$23,0)))*10^3</f>
        <v>2344669.2279391238</v>
      </c>
      <c r="I18" s="48">
        <f>($G$13*INDEX('에너지원별 발전량'!$E$4:$E$23,MATCH('Subsidies Paid'!I16,'에너지원별 발전량'!$A$4:$A$23,0)))*10^3</f>
        <v>2391955.4764723191</v>
      </c>
      <c r="J18" s="48">
        <f>($G$13*INDEX('에너지원별 발전량'!$E$4:$E$23,MATCH('Subsidies Paid'!J16,'에너지원별 발전량'!$A$4:$A$23,0)))*10^3</f>
        <v>2419225.1244658586</v>
      </c>
      <c r="K18" s="48">
        <f>($G$13*INDEX('에너지원별 발전량'!$E$4:$E$23,MATCH('Subsidies Paid'!K16,'에너지원별 발전량'!$A$4:$A$23,0)))*10^3</f>
        <v>2702060.0295473994</v>
      </c>
      <c r="L18" s="48">
        <f>($G$13*INDEX('에너지원별 발전량'!$E$4:$E$23,MATCH('Subsidies Paid'!L16,'에너지원별 발전량'!$A$4:$A$23,0)))*10^3</f>
        <v>2703960.9842623011</v>
      </c>
      <c r="M18" s="48">
        <f>($G$13*INDEX('에너지원별 발전량'!$E$4:$E$23,MATCH('Subsidies Paid'!M16,'에너지원별 발전량'!$A$4:$A$23,0)))*10^3</f>
        <v>2572896.945793767</v>
      </c>
      <c r="N18" s="48">
        <f>($G$13*INDEX('에너지원별 발전량'!$E$4:$E$23,MATCH('Subsidies Paid'!N16,'에너지원별 발전량'!$A$4:$A$23,0)))*10^3</f>
        <v>2221548.464529288</v>
      </c>
    </row>
    <row r="19" spans="1:14" s="24" customFormat="1"/>
    <row r="20" spans="1:14" s="24" customFormat="1">
      <c r="A20" s="19" t="s">
        <v>271</v>
      </c>
    </row>
    <row r="21" spans="1:14" s="24" customFormat="1">
      <c r="A21" s="24" t="s">
        <v>273</v>
      </c>
    </row>
    <row r="22" spans="1:14" s="24" customFormat="1">
      <c r="A22" s="115" t="s">
        <v>272</v>
      </c>
    </row>
    <row r="23" spans="1:14" s="24" customFormat="1"/>
    <row r="24" spans="1:14" s="24" customFormat="1">
      <c r="A24" s="4"/>
    </row>
    <row r="25" spans="1:14" s="24" customFormat="1"/>
    <row r="26" spans="1:14" s="24" customFormat="1">
      <c r="A26" s="4"/>
    </row>
    <row r="27" spans="1:14" s="24" customFormat="1"/>
    <row r="28" spans="1:14" s="24" customFormat="1">
      <c r="A28" s="4"/>
    </row>
    <row r="29" spans="1:14" s="24" customFormat="1"/>
    <row r="30" spans="1:14" s="24" customFormat="1"/>
  </sheetData>
  <sortState xmlns:xlrd2="http://schemas.microsoft.com/office/spreadsheetml/2017/richdata2" ref="A2:S9">
    <sortCondition ref="C2:C9"/>
    <sortCondition ref="A2:A9"/>
  </sortState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0A35-45FF-42DF-BD4E-375D53282FD1}">
  <dimension ref="A1:I29"/>
  <sheetViews>
    <sheetView workbookViewId="0">
      <selection activeCell="I4" sqref="I4"/>
    </sheetView>
  </sheetViews>
  <sheetFormatPr defaultColWidth="8.85546875" defaultRowHeight="15"/>
  <sheetData>
    <row r="1" spans="1:9">
      <c r="A1" s="19" t="s">
        <v>226</v>
      </c>
    </row>
    <row r="2" spans="1:9">
      <c r="B2" s="109">
        <v>2020</v>
      </c>
      <c r="C2" s="109">
        <v>2030</v>
      </c>
      <c r="D2" s="109" t="s">
        <v>212</v>
      </c>
    </row>
    <row r="3" spans="1:9">
      <c r="A3" t="s">
        <v>98</v>
      </c>
      <c r="B3">
        <v>133.30000000000001</v>
      </c>
      <c r="C3">
        <v>106.2</v>
      </c>
      <c r="D3" s="18">
        <f>(C3/B3-1)/10</f>
        <v>-2.0330082520630167E-2</v>
      </c>
      <c r="E3" s="20" t="s">
        <v>234</v>
      </c>
      <c r="I3" t="s">
        <v>235</v>
      </c>
    </row>
    <row r="4" spans="1:9">
      <c r="A4" t="s">
        <v>103</v>
      </c>
      <c r="B4">
        <v>131.6</v>
      </c>
      <c r="C4">
        <v>122.7</v>
      </c>
      <c r="D4" s="2">
        <f>(C4/B4-1)/10</f>
        <v>-6.7629179331306962E-3</v>
      </c>
      <c r="E4" s="20"/>
    </row>
    <row r="5" spans="1:9">
      <c r="A5" t="s">
        <v>99</v>
      </c>
      <c r="B5">
        <v>215</v>
      </c>
      <c r="C5">
        <v>155</v>
      </c>
      <c r="D5" s="2">
        <f>(C5/B5-1)/10</f>
        <v>-2.7906976744186053E-2</v>
      </c>
      <c r="E5" s="20"/>
    </row>
    <row r="7" spans="1:9">
      <c r="A7" s="19" t="s">
        <v>97</v>
      </c>
    </row>
    <row r="8" spans="1:9">
      <c r="A8" s="19" t="s">
        <v>232</v>
      </c>
    </row>
    <row r="23" spans="1:3">
      <c r="A23" s="35" t="s">
        <v>227</v>
      </c>
      <c r="B23" t="s">
        <v>228</v>
      </c>
    </row>
    <row r="25" spans="1:3">
      <c r="A25" t="s">
        <v>98</v>
      </c>
      <c r="B25">
        <f>106*About!$B$91/1000</f>
        <v>125.0694</v>
      </c>
      <c r="C25" s="20" t="s">
        <v>229</v>
      </c>
    </row>
    <row r="26" spans="1:3">
      <c r="A26" t="s">
        <v>103</v>
      </c>
      <c r="B26">
        <f>105*About!$B$91/1000</f>
        <v>123.88950000000001</v>
      </c>
      <c r="C26" s="20" t="s">
        <v>229</v>
      </c>
    </row>
    <row r="29" spans="1:3">
      <c r="A29" s="19" t="s">
        <v>99</v>
      </c>
    </row>
  </sheetData>
  <phoneticPr fontId="9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3632-04ED-4DFD-8674-100465E36766}">
  <dimension ref="A1:AQ73"/>
  <sheetViews>
    <sheetView workbookViewId="0">
      <selection activeCell="I27" sqref="I27"/>
    </sheetView>
  </sheetViews>
  <sheetFormatPr defaultColWidth="8.85546875" defaultRowHeight="15"/>
  <cols>
    <col min="1" max="1" width="11.140625" customWidth="1"/>
    <col min="2" max="2" width="12.5703125" customWidth="1"/>
    <col min="3" max="3" width="10.140625" style="23" customWidth="1"/>
    <col min="4" max="4" width="10.5703125" style="23" customWidth="1"/>
    <col min="5" max="5" width="10.42578125" style="23" customWidth="1"/>
    <col min="6" max="12" width="9" style="23" customWidth="1"/>
  </cols>
  <sheetData>
    <row r="1" spans="2:43" ht="15.75" thickBot="1">
      <c r="B1" s="19" t="s">
        <v>205</v>
      </c>
      <c r="F1" s="24" t="s">
        <v>102</v>
      </c>
    </row>
    <row r="2" spans="2:43">
      <c r="B2" s="77" t="s">
        <v>100</v>
      </c>
      <c r="C2" s="78">
        <v>2010</v>
      </c>
      <c r="D2" s="78">
        <v>2011</v>
      </c>
      <c r="E2" s="78">
        <v>2012</v>
      </c>
      <c r="F2" s="78">
        <v>2013</v>
      </c>
      <c r="G2" s="78">
        <v>2014</v>
      </c>
      <c r="H2" s="78">
        <v>2015</v>
      </c>
      <c r="I2" s="78">
        <v>2016</v>
      </c>
      <c r="J2" s="78">
        <v>2017</v>
      </c>
      <c r="K2" s="78">
        <v>2018</v>
      </c>
      <c r="L2" s="78">
        <v>2019</v>
      </c>
      <c r="M2" s="78">
        <v>2020</v>
      </c>
      <c r="N2" s="78">
        <v>2021</v>
      </c>
      <c r="O2" s="78">
        <v>2022</v>
      </c>
      <c r="P2" s="78">
        <v>2023</v>
      </c>
      <c r="Q2" s="78">
        <v>2024</v>
      </c>
      <c r="R2" s="78">
        <v>2025</v>
      </c>
      <c r="S2" s="78">
        <v>2026</v>
      </c>
      <c r="T2" s="78">
        <v>2027</v>
      </c>
      <c r="U2" s="78">
        <v>2028</v>
      </c>
      <c r="V2" s="78">
        <v>2029</v>
      </c>
      <c r="W2" s="78">
        <v>2030</v>
      </c>
      <c r="X2" s="78">
        <v>2031</v>
      </c>
      <c r="Y2" s="78">
        <v>2032</v>
      </c>
      <c r="Z2" s="78">
        <v>2033</v>
      </c>
      <c r="AA2" s="78">
        <v>2034</v>
      </c>
      <c r="AB2" s="78">
        <v>2035</v>
      </c>
      <c r="AC2" s="78">
        <v>2036</v>
      </c>
      <c r="AD2" s="78">
        <v>2037</v>
      </c>
      <c r="AE2" s="78">
        <v>2038</v>
      </c>
      <c r="AF2" s="78">
        <v>2039</v>
      </c>
      <c r="AG2" s="78">
        <v>2040</v>
      </c>
      <c r="AH2" s="78">
        <v>2041</v>
      </c>
      <c r="AI2" s="78">
        <v>2042</v>
      </c>
      <c r="AJ2" s="78">
        <v>2043</v>
      </c>
      <c r="AK2" s="78">
        <v>2044</v>
      </c>
      <c r="AL2" s="78">
        <v>2045</v>
      </c>
      <c r="AM2" s="78">
        <v>2046</v>
      </c>
      <c r="AN2" s="78">
        <v>2047</v>
      </c>
      <c r="AO2" s="78">
        <v>2048</v>
      </c>
      <c r="AP2" s="78">
        <v>2049</v>
      </c>
      <c r="AQ2" s="79">
        <v>2050</v>
      </c>
    </row>
    <row r="3" spans="2:43" s="23" customFormat="1">
      <c r="B3" s="68" t="s">
        <v>98</v>
      </c>
      <c r="C3" s="69">
        <v>4702.3620000000001</v>
      </c>
      <c r="D3" s="69">
        <v>3936.326</v>
      </c>
      <c r="E3" s="69">
        <v>2984.701</v>
      </c>
      <c r="F3" s="69">
        <v>2615.2890000000002</v>
      </c>
      <c r="G3" s="69">
        <v>2362.9659999999999</v>
      </c>
      <c r="H3" s="69">
        <v>1800.941</v>
      </c>
      <c r="I3" s="69">
        <v>1637.269</v>
      </c>
      <c r="J3" s="69">
        <v>1414.6780000000001</v>
      </c>
      <c r="K3" s="69">
        <v>1208.364</v>
      </c>
      <c r="L3" s="69">
        <v>994.69500000000005</v>
      </c>
      <c r="M3" s="71">
        <f t="shared" ref="M3:Q4" si="0">L3-$D49</f>
        <v>960.57916666666665</v>
      </c>
      <c r="N3" s="71">
        <f t="shared" si="0"/>
        <v>926.46333333333337</v>
      </c>
      <c r="O3" s="71">
        <f t="shared" si="0"/>
        <v>892.34750000000008</v>
      </c>
      <c r="P3" s="71">
        <f t="shared" si="0"/>
        <v>858.2316666666668</v>
      </c>
      <c r="Q3" s="71">
        <f t="shared" si="0"/>
        <v>824.11583333333351</v>
      </c>
      <c r="R3" s="69">
        <v>790</v>
      </c>
      <c r="S3" s="71">
        <f t="shared" ref="S3:V5" si="1">R3-$E49</f>
        <v>729.64</v>
      </c>
      <c r="T3" s="71">
        <f t="shared" si="1"/>
        <v>669.28</v>
      </c>
      <c r="U3" s="71">
        <f t="shared" si="1"/>
        <v>608.91999999999996</v>
      </c>
      <c r="V3" s="71">
        <f t="shared" si="1"/>
        <v>548.55999999999995</v>
      </c>
      <c r="W3" s="71">
        <f>C35+(D35-C35)*E35</f>
        <v>488.2</v>
      </c>
      <c r="X3" s="71">
        <f t="shared" ref="X3:AP3" si="2">W3-$F49</f>
        <v>476.78</v>
      </c>
      <c r="Y3" s="71">
        <f t="shared" si="2"/>
        <v>465.35999999999996</v>
      </c>
      <c r="Z3" s="71">
        <f t="shared" si="2"/>
        <v>453.93999999999994</v>
      </c>
      <c r="AA3" s="71">
        <f t="shared" si="2"/>
        <v>442.51999999999992</v>
      </c>
      <c r="AB3" s="71">
        <f t="shared" si="2"/>
        <v>431.09999999999991</v>
      </c>
      <c r="AC3" s="71">
        <f t="shared" si="2"/>
        <v>419.67999999999989</v>
      </c>
      <c r="AD3" s="71">
        <f t="shared" si="2"/>
        <v>408.25999999999988</v>
      </c>
      <c r="AE3" s="71">
        <f t="shared" si="2"/>
        <v>396.83999999999986</v>
      </c>
      <c r="AF3" s="71">
        <f t="shared" si="2"/>
        <v>385.41999999999985</v>
      </c>
      <c r="AG3" s="71">
        <f t="shared" si="2"/>
        <v>373.99999999999983</v>
      </c>
      <c r="AH3" s="71">
        <f t="shared" si="2"/>
        <v>362.57999999999981</v>
      </c>
      <c r="AI3" s="71">
        <f t="shared" si="2"/>
        <v>351.1599999999998</v>
      </c>
      <c r="AJ3" s="71">
        <f t="shared" si="2"/>
        <v>339.73999999999978</v>
      </c>
      <c r="AK3" s="71">
        <f t="shared" si="2"/>
        <v>328.31999999999977</v>
      </c>
      <c r="AL3" s="71">
        <f t="shared" si="2"/>
        <v>316.89999999999975</v>
      </c>
      <c r="AM3" s="71">
        <f t="shared" si="2"/>
        <v>305.47999999999973</v>
      </c>
      <c r="AN3" s="71">
        <f t="shared" si="2"/>
        <v>294.05999999999972</v>
      </c>
      <c r="AO3" s="71">
        <f t="shared" si="2"/>
        <v>282.6399999999997</v>
      </c>
      <c r="AP3" s="71">
        <f t="shared" si="2"/>
        <v>271.21999999999969</v>
      </c>
      <c r="AQ3" s="80">
        <f>C36+(D36-C36)*E35</f>
        <v>259.8</v>
      </c>
    </row>
    <row r="4" spans="2:43" s="23" customFormat="1">
      <c r="B4" s="68" t="s">
        <v>103</v>
      </c>
      <c r="C4" s="69">
        <v>1949</v>
      </c>
      <c r="D4" s="69">
        <v>1939</v>
      </c>
      <c r="E4" s="69">
        <v>1972</v>
      </c>
      <c r="F4" s="69">
        <v>1828</v>
      </c>
      <c r="G4" s="69">
        <v>1781</v>
      </c>
      <c r="H4" s="69">
        <v>1642</v>
      </c>
      <c r="I4" s="69">
        <v>1635</v>
      </c>
      <c r="J4" s="69">
        <v>1628</v>
      </c>
      <c r="K4" s="69">
        <v>1549</v>
      </c>
      <c r="L4" s="69">
        <v>1473</v>
      </c>
      <c r="M4" s="71">
        <f t="shared" si="0"/>
        <v>1455.8333333333333</v>
      </c>
      <c r="N4" s="71">
        <f t="shared" si="0"/>
        <v>1438.6666666666665</v>
      </c>
      <c r="O4" s="71">
        <f t="shared" si="0"/>
        <v>1421.4999999999998</v>
      </c>
      <c r="P4" s="71">
        <f t="shared" si="0"/>
        <v>1404.333333333333</v>
      </c>
      <c r="Q4" s="71">
        <f t="shared" si="0"/>
        <v>1387.1666666666663</v>
      </c>
      <c r="R4" s="69">
        <v>1370</v>
      </c>
      <c r="S4" s="71">
        <f t="shared" si="1"/>
        <v>1289</v>
      </c>
      <c r="T4" s="71">
        <f t="shared" si="1"/>
        <v>1208</v>
      </c>
      <c r="U4" s="71">
        <f t="shared" si="1"/>
        <v>1127</v>
      </c>
      <c r="V4" s="71">
        <f t="shared" si="1"/>
        <v>1046</v>
      </c>
      <c r="W4" s="71">
        <f>C40+ABS(C40-D40)*E35</f>
        <v>965</v>
      </c>
      <c r="X4" s="71">
        <f t="shared" ref="X4:AP4" si="3">W4-$F50</f>
        <v>954.5</v>
      </c>
      <c r="Y4" s="71">
        <f t="shared" si="3"/>
        <v>944</v>
      </c>
      <c r="Z4" s="71">
        <f t="shared" si="3"/>
        <v>933.5</v>
      </c>
      <c r="AA4" s="71">
        <f t="shared" si="3"/>
        <v>923</v>
      </c>
      <c r="AB4" s="71">
        <f t="shared" si="3"/>
        <v>912.5</v>
      </c>
      <c r="AC4" s="71">
        <f t="shared" si="3"/>
        <v>902</v>
      </c>
      <c r="AD4" s="71">
        <f t="shared" si="3"/>
        <v>891.5</v>
      </c>
      <c r="AE4" s="71">
        <f t="shared" si="3"/>
        <v>881</v>
      </c>
      <c r="AF4" s="71">
        <f t="shared" si="3"/>
        <v>870.5</v>
      </c>
      <c r="AG4" s="71">
        <f t="shared" si="3"/>
        <v>860</v>
      </c>
      <c r="AH4" s="71">
        <f t="shared" si="3"/>
        <v>849.5</v>
      </c>
      <c r="AI4" s="71">
        <f t="shared" si="3"/>
        <v>839</v>
      </c>
      <c r="AJ4" s="71">
        <f t="shared" si="3"/>
        <v>828.5</v>
      </c>
      <c r="AK4" s="71">
        <f t="shared" si="3"/>
        <v>818</v>
      </c>
      <c r="AL4" s="71">
        <f t="shared" si="3"/>
        <v>807.5</v>
      </c>
      <c r="AM4" s="71">
        <f t="shared" si="3"/>
        <v>797</v>
      </c>
      <c r="AN4" s="71">
        <f t="shared" si="3"/>
        <v>786.5</v>
      </c>
      <c r="AO4" s="71">
        <f t="shared" si="3"/>
        <v>776</v>
      </c>
      <c r="AP4" s="71">
        <f t="shared" si="3"/>
        <v>765.5</v>
      </c>
      <c r="AQ4" s="80">
        <f>C41+ABS(C41-D41)*E35</f>
        <v>755</v>
      </c>
    </row>
    <row r="5" spans="2:43" s="23" customFormat="1">
      <c r="B5" s="68" t="s">
        <v>106</v>
      </c>
      <c r="C5" s="69">
        <v>4650</v>
      </c>
      <c r="D5" s="69">
        <v>5326</v>
      </c>
      <c r="E5" s="69">
        <v>4741</v>
      </c>
      <c r="F5" s="69">
        <v>5738</v>
      </c>
      <c r="G5" s="69">
        <v>5245</v>
      </c>
      <c r="H5" s="69">
        <v>5260</v>
      </c>
      <c r="I5" s="69">
        <v>4280</v>
      </c>
      <c r="J5" s="69">
        <v>4683</v>
      </c>
      <c r="K5" s="70">
        <v>4245</v>
      </c>
      <c r="L5" s="69">
        <v>3800</v>
      </c>
      <c r="M5" s="71">
        <f>L5+$D51</f>
        <v>3825</v>
      </c>
      <c r="N5" s="71">
        <f>M5+$D51</f>
        <v>3850</v>
      </c>
      <c r="O5" s="71">
        <f>N5+$D51</f>
        <v>3875</v>
      </c>
      <c r="P5" s="71">
        <f>O5+$D51</f>
        <v>3900</v>
      </c>
      <c r="Q5" s="71">
        <f>P5+$D51</f>
        <v>3925</v>
      </c>
      <c r="R5" s="69">
        <v>3950</v>
      </c>
      <c r="S5" s="71">
        <f t="shared" si="1"/>
        <v>3590</v>
      </c>
      <c r="T5" s="71">
        <f t="shared" si="1"/>
        <v>3230</v>
      </c>
      <c r="U5" s="71">
        <f t="shared" si="1"/>
        <v>2870</v>
      </c>
      <c r="V5" s="71">
        <f t="shared" si="1"/>
        <v>2510</v>
      </c>
      <c r="W5" s="71">
        <f>C45+ABS(C45-D45)*E35</f>
        <v>2150</v>
      </c>
      <c r="X5" s="71">
        <f t="shared" ref="X5:AP5" si="4">W5-$F51</f>
        <v>2133.5</v>
      </c>
      <c r="Y5" s="71">
        <f t="shared" si="4"/>
        <v>2117</v>
      </c>
      <c r="Z5" s="71">
        <f t="shared" si="4"/>
        <v>2100.5</v>
      </c>
      <c r="AA5" s="71">
        <f t="shared" si="4"/>
        <v>2084</v>
      </c>
      <c r="AB5" s="71">
        <f t="shared" si="4"/>
        <v>2067.5</v>
      </c>
      <c r="AC5" s="71">
        <f t="shared" si="4"/>
        <v>2051</v>
      </c>
      <c r="AD5" s="71">
        <f t="shared" si="4"/>
        <v>2034.5</v>
      </c>
      <c r="AE5" s="71">
        <f t="shared" si="4"/>
        <v>2018</v>
      </c>
      <c r="AF5" s="71">
        <f t="shared" si="4"/>
        <v>2001.5</v>
      </c>
      <c r="AG5" s="71">
        <f t="shared" si="4"/>
        <v>1985</v>
      </c>
      <c r="AH5" s="71">
        <f t="shared" si="4"/>
        <v>1968.5</v>
      </c>
      <c r="AI5" s="71">
        <f t="shared" si="4"/>
        <v>1952</v>
      </c>
      <c r="AJ5" s="71">
        <f t="shared" si="4"/>
        <v>1935.5</v>
      </c>
      <c r="AK5" s="71">
        <f t="shared" si="4"/>
        <v>1919</v>
      </c>
      <c r="AL5" s="71">
        <f t="shared" si="4"/>
        <v>1902.5</v>
      </c>
      <c r="AM5" s="71">
        <f t="shared" si="4"/>
        <v>1886</v>
      </c>
      <c r="AN5" s="71">
        <f t="shared" si="4"/>
        <v>1869.5</v>
      </c>
      <c r="AO5" s="71">
        <f t="shared" si="4"/>
        <v>1853</v>
      </c>
      <c r="AP5" s="71">
        <f t="shared" si="4"/>
        <v>1836.5</v>
      </c>
      <c r="AQ5" s="80">
        <f>C46+ABS(C46-D46)*E35</f>
        <v>1820</v>
      </c>
    </row>
    <row r="6" spans="2:43" s="23" customFormat="1">
      <c r="B6" s="68" t="s">
        <v>113</v>
      </c>
      <c r="C6" s="69">
        <v>1234.26</v>
      </c>
      <c r="D6" s="69">
        <v>1210.0830000000001</v>
      </c>
      <c r="E6" s="69">
        <v>1286.921</v>
      </c>
      <c r="F6" s="69">
        <v>1517.231</v>
      </c>
      <c r="G6" s="69">
        <v>1587.4649999999999</v>
      </c>
      <c r="H6" s="69">
        <v>1452.069</v>
      </c>
      <c r="I6" s="69">
        <v>1839.2370000000001</v>
      </c>
      <c r="J6" s="69">
        <v>1768.749</v>
      </c>
      <c r="K6" s="69">
        <v>1455.857</v>
      </c>
      <c r="L6" s="69">
        <v>1709.289</v>
      </c>
      <c r="M6" s="81">
        <f>$L$6</f>
        <v>1709.289</v>
      </c>
      <c r="N6" s="69">
        <f t="shared" ref="N6:AQ6" si="5">$L$6</f>
        <v>1709.289</v>
      </c>
      <c r="O6" s="69">
        <f t="shared" si="5"/>
        <v>1709.289</v>
      </c>
      <c r="P6" s="69">
        <f t="shared" si="5"/>
        <v>1709.289</v>
      </c>
      <c r="Q6" s="69">
        <f t="shared" si="5"/>
        <v>1709.289</v>
      </c>
      <c r="R6" s="69">
        <f t="shared" si="5"/>
        <v>1709.289</v>
      </c>
      <c r="S6" s="69">
        <f t="shared" si="5"/>
        <v>1709.289</v>
      </c>
      <c r="T6" s="69">
        <f t="shared" si="5"/>
        <v>1709.289</v>
      </c>
      <c r="U6" s="69">
        <f t="shared" si="5"/>
        <v>1709.289</v>
      </c>
      <c r="V6" s="69">
        <f t="shared" si="5"/>
        <v>1709.289</v>
      </c>
      <c r="W6" s="69">
        <f t="shared" si="5"/>
        <v>1709.289</v>
      </c>
      <c r="X6" s="69">
        <f t="shared" si="5"/>
        <v>1709.289</v>
      </c>
      <c r="Y6" s="69">
        <f t="shared" si="5"/>
        <v>1709.289</v>
      </c>
      <c r="Z6" s="69">
        <f t="shared" si="5"/>
        <v>1709.289</v>
      </c>
      <c r="AA6" s="69">
        <f t="shared" si="5"/>
        <v>1709.289</v>
      </c>
      <c r="AB6" s="69">
        <f t="shared" si="5"/>
        <v>1709.289</v>
      </c>
      <c r="AC6" s="69">
        <f t="shared" si="5"/>
        <v>1709.289</v>
      </c>
      <c r="AD6" s="69">
        <f t="shared" si="5"/>
        <v>1709.289</v>
      </c>
      <c r="AE6" s="69">
        <f t="shared" si="5"/>
        <v>1709.289</v>
      </c>
      <c r="AF6" s="69">
        <f t="shared" si="5"/>
        <v>1709.289</v>
      </c>
      <c r="AG6" s="69">
        <f t="shared" si="5"/>
        <v>1709.289</v>
      </c>
      <c r="AH6" s="69">
        <f t="shared" si="5"/>
        <v>1709.289</v>
      </c>
      <c r="AI6" s="69">
        <f t="shared" si="5"/>
        <v>1709.289</v>
      </c>
      <c r="AJ6" s="69">
        <f t="shared" si="5"/>
        <v>1709.289</v>
      </c>
      <c r="AK6" s="69">
        <f t="shared" si="5"/>
        <v>1709.289</v>
      </c>
      <c r="AL6" s="69">
        <f t="shared" si="5"/>
        <v>1709.289</v>
      </c>
      <c r="AM6" s="69">
        <f t="shared" si="5"/>
        <v>1709.289</v>
      </c>
      <c r="AN6" s="69">
        <f t="shared" si="5"/>
        <v>1709.289</v>
      </c>
      <c r="AO6" s="69">
        <f t="shared" si="5"/>
        <v>1709.289</v>
      </c>
      <c r="AP6" s="69">
        <f t="shared" si="5"/>
        <v>1709.289</v>
      </c>
      <c r="AQ6" s="80">
        <f t="shared" si="5"/>
        <v>1709.289</v>
      </c>
    </row>
    <row r="7" spans="2:43" s="23" customFormat="1" ht="15.75" thickBot="1">
      <c r="B7" s="73" t="s">
        <v>112</v>
      </c>
      <c r="C7" s="74">
        <v>2588.0990000000002</v>
      </c>
      <c r="D7" s="74">
        <v>1301.9880000000001</v>
      </c>
      <c r="E7" s="74">
        <v>1494.864</v>
      </c>
      <c r="F7" s="74">
        <v>3027.7849999999999</v>
      </c>
      <c r="G7" s="74">
        <v>2982.498</v>
      </c>
      <c r="H7" s="74">
        <v>2591.8130000000001</v>
      </c>
      <c r="I7" s="74">
        <v>2175.08</v>
      </c>
      <c r="J7" s="74">
        <v>2897.3020000000001</v>
      </c>
      <c r="K7" s="74">
        <v>1693.367</v>
      </c>
      <c r="L7" s="74">
        <v>2140.643</v>
      </c>
      <c r="M7" s="82">
        <f>AVERAGE($C$7:$L$7)</f>
        <v>2289.3438999999998</v>
      </c>
      <c r="N7" s="74">
        <f t="shared" ref="N7:AQ7" si="6">AVERAGE($C$7:$L$7)</f>
        <v>2289.3438999999998</v>
      </c>
      <c r="O7" s="74">
        <f t="shared" si="6"/>
        <v>2289.3438999999998</v>
      </c>
      <c r="P7" s="74">
        <f t="shared" si="6"/>
        <v>2289.3438999999998</v>
      </c>
      <c r="Q7" s="74">
        <f t="shared" si="6"/>
        <v>2289.3438999999998</v>
      </c>
      <c r="R7" s="74">
        <f t="shared" si="6"/>
        <v>2289.3438999999998</v>
      </c>
      <c r="S7" s="74">
        <f t="shared" si="6"/>
        <v>2289.3438999999998</v>
      </c>
      <c r="T7" s="74">
        <f t="shared" si="6"/>
        <v>2289.3438999999998</v>
      </c>
      <c r="U7" s="74">
        <f t="shared" si="6"/>
        <v>2289.3438999999998</v>
      </c>
      <c r="V7" s="74">
        <f t="shared" si="6"/>
        <v>2289.3438999999998</v>
      </c>
      <c r="W7" s="74">
        <f t="shared" si="6"/>
        <v>2289.3438999999998</v>
      </c>
      <c r="X7" s="74">
        <f t="shared" si="6"/>
        <v>2289.3438999999998</v>
      </c>
      <c r="Y7" s="74">
        <f t="shared" si="6"/>
        <v>2289.3438999999998</v>
      </c>
      <c r="Z7" s="74">
        <f t="shared" si="6"/>
        <v>2289.3438999999998</v>
      </c>
      <c r="AA7" s="74">
        <f t="shared" si="6"/>
        <v>2289.3438999999998</v>
      </c>
      <c r="AB7" s="74">
        <f t="shared" si="6"/>
        <v>2289.3438999999998</v>
      </c>
      <c r="AC7" s="74">
        <f t="shared" si="6"/>
        <v>2289.3438999999998</v>
      </c>
      <c r="AD7" s="74">
        <f t="shared" si="6"/>
        <v>2289.3438999999998</v>
      </c>
      <c r="AE7" s="74">
        <f t="shared" si="6"/>
        <v>2289.3438999999998</v>
      </c>
      <c r="AF7" s="74">
        <f t="shared" si="6"/>
        <v>2289.3438999999998</v>
      </c>
      <c r="AG7" s="74">
        <f t="shared" si="6"/>
        <v>2289.3438999999998</v>
      </c>
      <c r="AH7" s="74">
        <f t="shared" si="6"/>
        <v>2289.3438999999998</v>
      </c>
      <c r="AI7" s="74">
        <f t="shared" si="6"/>
        <v>2289.3438999999998</v>
      </c>
      <c r="AJ7" s="74">
        <f t="shared" si="6"/>
        <v>2289.3438999999998</v>
      </c>
      <c r="AK7" s="74">
        <f t="shared" si="6"/>
        <v>2289.3438999999998</v>
      </c>
      <c r="AL7" s="74">
        <f t="shared" si="6"/>
        <v>2289.3438999999998</v>
      </c>
      <c r="AM7" s="74">
        <f t="shared" si="6"/>
        <v>2289.3438999999998</v>
      </c>
      <c r="AN7" s="74">
        <f t="shared" si="6"/>
        <v>2289.3438999999998</v>
      </c>
      <c r="AO7" s="74">
        <f t="shared" si="6"/>
        <v>2289.3438999999998</v>
      </c>
      <c r="AP7" s="74">
        <f t="shared" si="6"/>
        <v>2289.3438999999998</v>
      </c>
      <c r="AQ7" s="83">
        <f t="shared" si="6"/>
        <v>2289.3438999999998</v>
      </c>
    </row>
    <row r="8" spans="2:43" s="24" customFormat="1">
      <c r="C8" s="34"/>
      <c r="D8" s="34"/>
      <c r="E8" s="34"/>
      <c r="F8" s="34"/>
      <c r="G8" s="34"/>
      <c r="H8" s="34"/>
      <c r="I8" s="34"/>
      <c r="J8" s="34"/>
      <c r="K8" s="34"/>
      <c r="L8" s="34"/>
      <c r="M8" s="61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</row>
    <row r="9" spans="2:43" s="24" customFormat="1">
      <c r="B9" s="84" t="s">
        <v>211</v>
      </c>
      <c r="C9" s="34"/>
      <c r="D9" s="34"/>
      <c r="E9" s="34"/>
      <c r="F9" s="34"/>
      <c r="G9" s="55" t="s">
        <v>118</v>
      </c>
      <c r="H9" s="34"/>
      <c r="I9" s="34"/>
      <c r="J9" s="34"/>
      <c r="K9" s="34"/>
      <c r="L9" s="34"/>
      <c r="M9" s="61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</row>
    <row r="10" spans="2:43" s="24" customFormat="1" ht="15.75" thickBot="1">
      <c r="B10" s="62" t="s">
        <v>212</v>
      </c>
      <c r="D10" s="34"/>
      <c r="E10" s="34"/>
      <c r="F10" s="34"/>
      <c r="G10" s="34"/>
      <c r="H10" s="34"/>
      <c r="I10" s="34"/>
      <c r="J10" s="34"/>
      <c r="K10" s="34"/>
      <c r="L10" s="34"/>
      <c r="M10" s="61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</row>
    <row r="11" spans="2:43" s="24" customFormat="1">
      <c r="B11" s="63" t="s">
        <v>98</v>
      </c>
      <c r="C11" s="100">
        <f>($AQ3/W3)^(1/COUNT($W$2:$AP$2))-1</f>
        <v>-3.1048434830778016E-2</v>
      </c>
      <c r="D11" s="88" t="s">
        <v>210</v>
      </c>
      <c r="F11" s="34"/>
      <c r="G11" s="34"/>
      <c r="H11" s="34"/>
      <c r="I11" s="34"/>
      <c r="J11" s="34"/>
      <c r="K11" s="34"/>
      <c r="L11" s="34"/>
      <c r="M11" s="61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</row>
    <row r="12" spans="2:43" s="24" customFormat="1">
      <c r="B12" s="68" t="s">
        <v>103</v>
      </c>
      <c r="C12" s="101">
        <f>($AQ4/W4)^(1/COUNT($W$2:$AP$2))-1</f>
        <v>-1.2195541780732455E-2</v>
      </c>
      <c r="D12" s="102" t="s">
        <v>210</v>
      </c>
      <c r="E12" s="34"/>
      <c r="F12" s="34"/>
      <c r="G12" s="34"/>
      <c r="H12" s="34"/>
      <c r="I12" s="34"/>
      <c r="J12" s="34"/>
      <c r="K12" s="34"/>
      <c r="L12" s="34"/>
      <c r="M12" s="61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</row>
    <row r="13" spans="2:43" s="24" customFormat="1" ht="15.75" thickBot="1">
      <c r="B13" s="73" t="s">
        <v>99</v>
      </c>
      <c r="C13" s="103">
        <f>($AQ5/$K$5)^(1/COUNT($K$2:$AP$2))-1</f>
        <v>-2.6118641430034839E-2</v>
      </c>
      <c r="D13" s="104" t="s">
        <v>209</v>
      </c>
      <c r="E13" s="34"/>
      <c r="F13" s="34"/>
      <c r="G13" s="34"/>
      <c r="H13" s="34"/>
      <c r="I13" s="34"/>
      <c r="J13" s="34"/>
      <c r="K13" s="34"/>
      <c r="L13" s="34"/>
      <c r="M13" s="61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</row>
    <row r="14" spans="2:43" s="24" customFormat="1"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61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</row>
    <row r="15" spans="2:43" s="24" customFormat="1" ht="15.75" thickBot="1">
      <c r="B15" s="19" t="s">
        <v>218</v>
      </c>
      <c r="C15" s="34"/>
      <c r="D15" s="34"/>
      <c r="E15" s="34">
        <v>1000</v>
      </c>
      <c r="F15" s="34" t="s">
        <v>216</v>
      </c>
      <c r="G15" s="34"/>
      <c r="H15" s="34"/>
      <c r="I15" s="34"/>
      <c r="J15" s="34"/>
      <c r="K15" s="34"/>
      <c r="L15" s="34"/>
      <c r="M15" s="61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</row>
    <row r="16" spans="2:43" s="24" customFormat="1">
      <c r="B16" s="63" t="s">
        <v>203</v>
      </c>
      <c r="C16" s="64">
        <v>0</v>
      </c>
      <c r="D16" s="64">
        <v>0</v>
      </c>
      <c r="E16" s="64">
        <v>0</v>
      </c>
      <c r="F16" s="64">
        <v>0</v>
      </c>
      <c r="G16" s="64">
        <v>0</v>
      </c>
      <c r="H16" s="64">
        <v>0</v>
      </c>
      <c r="I16" s="64">
        <v>0</v>
      </c>
      <c r="J16" s="64">
        <v>0</v>
      </c>
      <c r="K16" s="64">
        <v>0</v>
      </c>
      <c r="L16" s="64">
        <v>0</v>
      </c>
      <c r="M16" s="65">
        <f>1513.3</f>
        <v>1513.3</v>
      </c>
      <c r="N16" s="66">
        <f>M16-$D$29</f>
        <v>1468.42</v>
      </c>
      <c r="O16" s="66">
        <f>N16-$D$29</f>
        <v>1423.5400000000002</v>
      </c>
      <c r="P16" s="66">
        <f>O16-$D$29</f>
        <v>1378.6600000000003</v>
      </c>
      <c r="Q16" s="66">
        <f>P16-$D$29</f>
        <v>1333.7800000000004</v>
      </c>
      <c r="R16" s="64">
        <f>1288.9</f>
        <v>1288.9000000000001</v>
      </c>
      <c r="S16" s="66">
        <f>R16-$E$29</f>
        <v>1242.1400000000001</v>
      </c>
      <c r="T16" s="66">
        <f>S16-$E$29</f>
        <v>1195.3800000000001</v>
      </c>
      <c r="U16" s="66">
        <f>T16-$E$29</f>
        <v>1148.6200000000001</v>
      </c>
      <c r="V16" s="66">
        <f>U16-$E$29</f>
        <v>1101.8600000000001</v>
      </c>
      <c r="W16" s="64">
        <f>1055.1</f>
        <v>1055.0999999999999</v>
      </c>
      <c r="X16" s="66">
        <f>W16*(1+$C$11)</f>
        <v>1022.340796410046</v>
      </c>
      <c r="Y16" s="66">
        <f t="shared" ref="Y16:AQ16" si="7">X16*(1+$C$11)</f>
        <v>990.59871481786297</v>
      </c>
      <c r="Z16" s="66">
        <f t="shared" si="7"/>
        <v>959.84217517738807</v>
      </c>
      <c r="AA16" s="66">
        <f t="shared" si="7"/>
        <v>930.04057795356073</v>
      </c>
      <c r="AB16" s="66">
        <f t="shared" si="7"/>
        <v>901.16427367899053</v>
      </c>
      <c r="AC16" s="66">
        <f t="shared" si="7"/>
        <v>873.18453345584294</v>
      </c>
      <c r="AD16" s="66">
        <f t="shared" si="7"/>
        <v>846.0735203735959</v>
      </c>
      <c r="AE16" s="66">
        <f t="shared" si="7"/>
        <v>819.80426181422933</v>
      </c>
      <c r="AF16" s="66">
        <f t="shared" si="7"/>
        <v>794.35062261729615</v>
      </c>
      <c r="AG16" s="66">
        <f t="shared" si="7"/>
        <v>769.68727907817504</v>
      </c>
      <c r="AH16" s="66">
        <f t="shared" si="7"/>
        <v>745.78969375363749</v>
      </c>
      <c r="AI16" s="66">
        <f t="shared" si="7"/>
        <v>722.63409104966183</v>
      </c>
      <c r="AJ16" s="66">
        <f t="shared" si="7"/>
        <v>700.1974335672079</v>
      </c>
      <c r="AK16" s="66">
        <f t="shared" si="7"/>
        <v>678.45739918241838</v>
      </c>
      <c r="AL16" s="66">
        <f t="shared" si="7"/>
        <v>657.3923588384439</v>
      </c>
      <c r="AM16" s="66">
        <f t="shared" si="7"/>
        <v>636.98135502679702</v>
      </c>
      <c r="AN16" s="66">
        <f t="shared" si="7"/>
        <v>617.20408093682681</v>
      </c>
      <c r="AO16" s="66">
        <f t="shared" si="7"/>
        <v>598.04086025256947</v>
      </c>
      <c r="AP16" s="66">
        <f t="shared" si="7"/>
        <v>579.4726275768752</v>
      </c>
      <c r="AQ16" s="67">
        <f t="shared" si="7"/>
        <v>561.48090946333491</v>
      </c>
    </row>
    <row r="17" spans="2:43" s="24" customFormat="1">
      <c r="B17" s="68" t="s">
        <v>204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70">
        <f>2522.4</f>
        <v>2522.4</v>
      </c>
      <c r="N17" s="71">
        <f>M17-$D$30</f>
        <v>2481.9</v>
      </c>
      <c r="O17" s="71">
        <f>N17-$D$30</f>
        <v>2441.4</v>
      </c>
      <c r="P17" s="71">
        <f>O17-$D$30</f>
        <v>2400.9</v>
      </c>
      <c r="Q17" s="71">
        <f>P17-$D$30</f>
        <v>2360.4</v>
      </c>
      <c r="R17" s="69">
        <f>2319.9</f>
        <v>2319.9</v>
      </c>
      <c r="S17" s="71">
        <f>R17-$E$30</f>
        <v>2296.4</v>
      </c>
      <c r="T17" s="71">
        <f>S17-$E$30</f>
        <v>2272.9</v>
      </c>
      <c r="U17" s="71">
        <f>T17-$E$30</f>
        <v>2249.4</v>
      </c>
      <c r="V17" s="71">
        <f>U17-$E$30</f>
        <v>2225.9</v>
      </c>
      <c r="W17" s="69">
        <f>2202.4</f>
        <v>2202.4</v>
      </c>
      <c r="X17" s="71">
        <f>W17*(1+$C$12)</f>
        <v>2175.5405387821147</v>
      </c>
      <c r="Y17" s="71">
        <f t="shared" ref="Y17:AQ17" si="8">X17*(1+$C$12)</f>
        <v>2149.0086432457201</v>
      </c>
      <c r="Z17" s="71">
        <f t="shared" si="8"/>
        <v>2122.8003185498619</v>
      </c>
      <c r="AA17" s="71">
        <f t="shared" si="8"/>
        <v>2096.9116185728349</v>
      </c>
      <c r="AB17" s="71">
        <f t="shared" si="8"/>
        <v>2071.3386453180265</v>
      </c>
      <c r="AC17" s="71">
        <f t="shared" si="8"/>
        <v>2046.0775483270047</v>
      </c>
      <c r="AD17" s="71">
        <f t="shared" si="8"/>
        <v>2021.1245240997641</v>
      </c>
      <c r="AE17" s="71">
        <f t="shared" si="8"/>
        <v>1996.4758155220425</v>
      </c>
      <c r="AF17" s="71">
        <f t="shared" si="8"/>
        <v>1972.1277112996215</v>
      </c>
      <c r="AG17" s="71">
        <f t="shared" si="8"/>
        <v>1948.0765453995268</v>
      </c>
      <c r="AH17" s="71">
        <f t="shared" si="8"/>
        <v>1924.3186964980418</v>
      </c>
      <c r="AI17" s="71">
        <f t="shared" si="8"/>
        <v>1900.8505874354553</v>
      </c>
      <c r="AJ17" s="71">
        <f t="shared" si="8"/>
        <v>1877.6686846774564</v>
      </c>
      <c r="AK17" s="71">
        <f t="shared" si="8"/>
        <v>1854.7694977830995</v>
      </c>
      <c r="AL17" s="71">
        <f t="shared" si="8"/>
        <v>1832.1495788792577</v>
      </c>
      <c r="AM17" s="71">
        <f t="shared" si="8"/>
        <v>1809.8055221414843</v>
      </c>
      <c r="AN17" s="71">
        <f t="shared" si="8"/>
        <v>1787.7339632812075</v>
      </c>
      <c r="AO17" s="71">
        <f t="shared" si="8"/>
        <v>1765.931579039177</v>
      </c>
      <c r="AP17" s="71">
        <f t="shared" si="8"/>
        <v>1744.3950866850898</v>
      </c>
      <c r="AQ17" s="72">
        <f t="shared" si="8"/>
        <v>1723.1212435233174</v>
      </c>
    </row>
    <row r="18" spans="2:43" s="24" customFormat="1" ht="15.75" thickBot="1">
      <c r="B18" s="73" t="s">
        <v>99</v>
      </c>
      <c r="C18" s="74">
        <v>0</v>
      </c>
      <c r="D18" s="74">
        <v>0</v>
      </c>
      <c r="E18" s="74">
        <v>0</v>
      </c>
      <c r="F18" s="74">
        <v>0</v>
      </c>
      <c r="G18" s="74">
        <v>0</v>
      </c>
      <c r="H18" s="74">
        <v>0</v>
      </c>
      <c r="I18" s="74">
        <v>0</v>
      </c>
      <c r="J18" s="74">
        <v>0</v>
      </c>
      <c r="K18" s="74">
        <f>5730</f>
        <v>5730</v>
      </c>
      <c r="L18" s="75">
        <f>K18*(1+$C$13)</f>
        <v>5580.3401846059005</v>
      </c>
      <c r="M18" s="75">
        <f t="shared" ref="M18:AQ18" si="9">L18*(1+$C$13)</f>
        <v>5434.5892802665649</v>
      </c>
      <c r="N18" s="75">
        <f t="shared" si="9"/>
        <v>5292.6451915357711</v>
      </c>
      <c r="O18" s="75">
        <f t="shared" si="9"/>
        <v>5154.4084895616506</v>
      </c>
      <c r="P18" s="75">
        <f t="shared" si="9"/>
        <v>5019.7823424388625</v>
      </c>
      <c r="Q18" s="75">
        <f t="shared" si="9"/>
        <v>4888.6724473798813</v>
      </c>
      <c r="R18" s="75">
        <f t="shared" si="9"/>
        <v>4760.9869646578754</v>
      </c>
      <c r="S18" s="75">
        <f t="shared" si="9"/>
        <v>4636.6364532749067</v>
      </c>
      <c r="T18" s="75">
        <f t="shared" si="9"/>
        <v>4515.5338083103907</v>
      </c>
      <c r="U18" s="75">
        <f t="shared" si="9"/>
        <v>4397.5941999059323</v>
      </c>
      <c r="V18" s="75">
        <f t="shared" si="9"/>
        <v>4282.7350138437887</v>
      </c>
      <c r="W18" s="75">
        <f t="shared" si="9"/>
        <v>4170.8757936773472</v>
      </c>
      <c r="X18" s="75">
        <f t="shared" si="9"/>
        <v>4061.9381843730766</v>
      </c>
      <c r="Y18" s="75">
        <f t="shared" si="9"/>
        <v>3955.8458774244696</v>
      </c>
      <c r="Z18" s="75">
        <f t="shared" si="9"/>
        <v>3852.5245573995385</v>
      </c>
      <c r="AA18" s="75">
        <f t="shared" si="9"/>
        <v>3751.9018498844162</v>
      </c>
      <c r="AB18" s="75">
        <f t="shared" si="9"/>
        <v>3653.9072707866007</v>
      </c>
      <c r="AC18" s="75">
        <f t="shared" si="9"/>
        <v>3558.4721769623284</v>
      </c>
      <c r="AD18" s="75">
        <f t="shared" si="9"/>
        <v>3465.529718133494</v>
      </c>
      <c r="AE18" s="75">
        <f t="shared" si="9"/>
        <v>3375.0147900604356</v>
      </c>
      <c r="AF18" s="75">
        <f t="shared" si="9"/>
        <v>3286.8639889377828</v>
      </c>
      <c r="AG18" s="75">
        <f t="shared" si="9"/>
        <v>3201.015566981423</v>
      </c>
      <c r="AH18" s="75">
        <f t="shared" si="9"/>
        <v>3117.4093891754756</v>
      </c>
      <c r="AI18" s="75">
        <f t="shared" si="9"/>
        <v>3035.9868911489775</v>
      </c>
      <c r="AJ18" s="75">
        <f t="shared" si="9"/>
        <v>2956.6910381527709</v>
      </c>
      <c r="AK18" s="75">
        <f t="shared" si="9"/>
        <v>2879.466285107861</v>
      </c>
      <c r="AL18" s="75">
        <f t="shared" si="9"/>
        <v>2804.2585376972543</v>
      </c>
      <c r="AM18" s="75">
        <f t="shared" si="9"/>
        <v>2731.0151144740257</v>
      </c>
      <c r="AN18" s="75">
        <f t="shared" si="9"/>
        <v>2659.6847099590732</v>
      </c>
      <c r="AO18" s="75">
        <f t="shared" si="9"/>
        <v>2590.217358702706</v>
      </c>
      <c r="AP18" s="75">
        <f t="shared" si="9"/>
        <v>2522.5644002848981</v>
      </c>
      <c r="AQ18" s="76">
        <f t="shared" si="9"/>
        <v>2456.6784452296861</v>
      </c>
    </row>
    <row r="19" spans="2:43" s="24" customFormat="1">
      <c r="B19" s="24" t="s">
        <v>113</v>
      </c>
      <c r="C19" s="34" t="s">
        <v>206</v>
      </c>
      <c r="D19" s="34"/>
      <c r="E19" s="34"/>
      <c r="F19" s="34"/>
      <c r="G19" s="34"/>
      <c r="H19" s="34"/>
      <c r="I19" s="34"/>
      <c r="J19" s="34"/>
      <c r="K19" s="34"/>
      <c r="L19" s="34"/>
      <c r="M19" s="61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</row>
    <row r="20" spans="2:43" s="24" customFormat="1">
      <c r="B20" s="24" t="s">
        <v>112</v>
      </c>
      <c r="C20" s="34" t="s">
        <v>206</v>
      </c>
      <c r="D20" s="34"/>
      <c r="E20" s="34"/>
      <c r="F20" s="34"/>
      <c r="G20" s="34"/>
      <c r="H20" s="34"/>
      <c r="I20" s="34"/>
      <c r="J20" s="34"/>
      <c r="K20" s="34"/>
      <c r="L20" s="34"/>
      <c r="M20" s="61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</row>
    <row r="21" spans="2:43" s="24" customFormat="1"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61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</row>
    <row r="22" spans="2:43" s="24" customFormat="1" ht="15.75" thickBot="1">
      <c r="B22" s="19" t="s">
        <v>217</v>
      </c>
      <c r="C22" s="34"/>
      <c r="D22" s="34"/>
      <c r="E22" s="34"/>
      <c r="F22" s="34" t="s">
        <v>102</v>
      </c>
      <c r="G22" s="34"/>
      <c r="H22" s="34"/>
      <c r="I22" s="34"/>
      <c r="J22" s="34"/>
      <c r="K22" s="34"/>
      <c r="L22" s="34"/>
      <c r="M22" s="112" t="s">
        <v>233</v>
      </c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</row>
    <row r="23" spans="2:43" s="24" customFormat="1">
      <c r="B23" s="63" t="s">
        <v>98</v>
      </c>
      <c r="C23" s="64">
        <f>C16*$E$15/About!$B$91</f>
        <v>0</v>
      </c>
      <c r="D23" s="64">
        <f>D16*$E$15/About!$B$91</f>
        <v>0</v>
      </c>
      <c r="E23" s="64">
        <f>E16*$E$15/About!$B$91</f>
        <v>0</v>
      </c>
      <c r="F23" s="64">
        <f>F16*$E$15/About!$B$91</f>
        <v>0</v>
      </c>
      <c r="G23" s="64">
        <f>G16*$E$15/About!$B$91</f>
        <v>0</v>
      </c>
      <c r="H23" s="64">
        <f>H16*$E$15/About!$B$91</f>
        <v>0</v>
      </c>
      <c r="I23" s="64">
        <f>I16*$E$15/About!$B$91</f>
        <v>0</v>
      </c>
      <c r="J23" s="64">
        <f>J16*$E$15/About!$B$91</f>
        <v>0</v>
      </c>
      <c r="K23" s="64">
        <f>K16*$E$15/About!$B$91</f>
        <v>0</v>
      </c>
      <c r="L23" s="64">
        <f>L16*$E$15/About!$B$91</f>
        <v>0</v>
      </c>
      <c r="M23" s="110">
        <f>M16*$E$15/About!$B$91</f>
        <v>1282.5663191795913</v>
      </c>
      <c r="N23" s="66">
        <f>N16*$E$15/About!$B$91</f>
        <v>1244.5291973896092</v>
      </c>
      <c r="O23" s="66">
        <f>O16*$E$15/About!$B$91</f>
        <v>1206.4920755996272</v>
      </c>
      <c r="P23" s="66">
        <f>P16*$E$15/About!$B$91</f>
        <v>1168.4549538096451</v>
      </c>
      <c r="Q23" s="66">
        <f>Q16*$E$15/About!$B$91</f>
        <v>1130.4178320196629</v>
      </c>
      <c r="R23" s="64">
        <f>R16*$E$15/About!$B$91</f>
        <v>1092.3807102296803</v>
      </c>
      <c r="S23" s="66">
        <f>S16*$E$15/About!$B$91</f>
        <v>1052.7502330705991</v>
      </c>
      <c r="T23" s="66">
        <f>T16*$E$15/About!$B$91</f>
        <v>1013.1197559115178</v>
      </c>
      <c r="U23" s="66">
        <f>U16*$E$15/About!$B$91</f>
        <v>973.4892787524368</v>
      </c>
      <c r="V23" s="66">
        <f>V16*$E$15/About!$B$91</f>
        <v>933.85880159335545</v>
      </c>
      <c r="W23" s="64">
        <f>W16*$E$15/About!$B$91</f>
        <v>894.22832443427399</v>
      </c>
      <c r="X23" s="66">
        <f>X16*$E$15/About!$B$91</f>
        <v>866.46393457924046</v>
      </c>
      <c r="Y23" s="66">
        <f>Y16*$E$15/About!$B$91</f>
        <v>839.56158557323749</v>
      </c>
      <c r="Z23" s="66">
        <f>Z16*$E$15/About!$B$91</f>
        <v>813.49451239714222</v>
      </c>
      <c r="AA23" s="66">
        <f>AA16*$E$15/About!$B$91</f>
        <v>788.23678104378394</v>
      </c>
      <c r="AB23" s="66">
        <f>AB16*$E$15/About!$B$91</f>
        <v>763.76326271632377</v>
      </c>
      <c r="AC23" s="66">
        <f>AC16*$E$15/About!$B$91</f>
        <v>740.04960882773366</v>
      </c>
      <c r="AD23" s="66">
        <f>AD16*$E$15/About!$B$91</f>
        <v>717.07222677650293</v>
      </c>
      <c r="AE23" s="66">
        <f>AE16*$E$15/About!$B$91</f>
        <v>694.80825647447182</v>
      </c>
      <c r="AF23" s="66">
        <f>AF16*$E$15/About!$B$91</f>
        <v>673.23554760343768</v>
      </c>
      <c r="AG23" s="66">
        <f>AG16*$E$15/About!$B$91</f>
        <v>652.33263757790917</v>
      </c>
      <c r="AH23" s="66">
        <f>AH16*$E$15/About!$B$91</f>
        <v>632.07873019208193</v>
      </c>
      <c r="AI23" s="66">
        <f>AI16*$E$15/About!$B$91</f>
        <v>612.45367492979221</v>
      </c>
      <c r="AJ23" s="66">
        <f>AJ16*$E$15/About!$B$91</f>
        <v>593.43794691686401</v>
      </c>
      <c r="AK23" s="66">
        <f>AK16*$E$15/About!$B$91</f>
        <v>575.01262749590501</v>
      </c>
      <c r="AL23" s="66">
        <f>AL16*$E$15/About!$B$91</f>
        <v>557.15938540422394</v>
      </c>
      <c r="AM23" s="66">
        <f>AM16*$E$15/About!$B$91</f>
        <v>539.86045853614462</v>
      </c>
      <c r="AN23" s="66">
        <f>AN16*$E$15/About!$B$91</f>
        <v>523.09863627157108</v>
      </c>
      <c r="AO23" s="66">
        <f>AO16*$E$15/About!$B$91</f>
        <v>506.85724235322431</v>
      </c>
      <c r="AP23" s="66">
        <f>AP16*$E$15/About!$B$91</f>
        <v>491.12011829551244</v>
      </c>
      <c r="AQ23" s="67">
        <f>AQ16*$E$15/About!$B$91</f>
        <v>475.87160730853032</v>
      </c>
    </row>
    <row r="24" spans="2:43" s="24" customFormat="1">
      <c r="B24" s="68" t="s">
        <v>103</v>
      </c>
      <c r="C24" s="69">
        <f>C17*$E$15/About!$B$91</f>
        <v>0</v>
      </c>
      <c r="D24" s="69">
        <f>D17*$E$15/About!$B$91</f>
        <v>0</v>
      </c>
      <c r="E24" s="69">
        <f>E17*$E$15/About!$B$91</f>
        <v>0</v>
      </c>
      <c r="F24" s="69">
        <f>F17*$E$15/About!$B$91</f>
        <v>0</v>
      </c>
      <c r="G24" s="69">
        <f>G17*$E$15/About!$B$91</f>
        <v>0</v>
      </c>
      <c r="H24" s="69">
        <f>H17*$E$15/About!$B$91</f>
        <v>0</v>
      </c>
      <c r="I24" s="69">
        <f>I17*$E$15/About!$B$91</f>
        <v>0</v>
      </c>
      <c r="J24" s="69">
        <f>J17*$E$15/About!$B$91</f>
        <v>0</v>
      </c>
      <c r="K24" s="69">
        <f>K17*$E$15/About!$B$91</f>
        <v>0</v>
      </c>
      <c r="L24" s="69">
        <f>L17*$E$15/About!$B$91</f>
        <v>0</v>
      </c>
      <c r="M24" s="81">
        <f>M17*$E$15/About!$B$91</f>
        <v>2137.8082888380368</v>
      </c>
      <c r="N24" s="71">
        <f>N17*$E$15/About!$B$91</f>
        <v>2103.4833460462751</v>
      </c>
      <c r="O24" s="71">
        <f>O17*$E$15/About!$B$91</f>
        <v>2069.1584032545129</v>
      </c>
      <c r="P24" s="71">
        <f>P17*$E$15/About!$B$91</f>
        <v>2034.833460462751</v>
      </c>
      <c r="Q24" s="71">
        <f>Q17*$E$15/About!$B$91</f>
        <v>2000.508517670989</v>
      </c>
      <c r="R24" s="69">
        <f>R17*$E$15/About!$B$91</f>
        <v>1966.1835748792269</v>
      </c>
      <c r="S24" s="71">
        <f>S17*$E$15/About!$B$91</f>
        <v>1946.2666327654883</v>
      </c>
      <c r="T24" s="71">
        <f>T17*$E$15/About!$B$91</f>
        <v>1926.3496906517501</v>
      </c>
      <c r="U24" s="71">
        <f>U17*$E$15/About!$B$91</f>
        <v>1906.4327485380115</v>
      </c>
      <c r="V24" s="71">
        <f>V17*$E$15/About!$B$91</f>
        <v>1886.515806424273</v>
      </c>
      <c r="W24" s="69">
        <f>W17*$E$15/About!$B$91</f>
        <v>1866.5988643105347</v>
      </c>
      <c r="X24" s="71">
        <f>X17*$E$15/About!$B$91</f>
        <v>1843.8346798729676</v>
      </c>
      <c r="Y24" s="71">
        <f>Y17*$E$15/About!$B$91</f>
        <v>1821.3481169978136</v>
      </c>
      <c r="Z24" s="71">
        <f>Z17*$E$15/About!$B$91</f>
        <v>1799.1357899397085</v>
      </c>
      <c r="AA24" s="71">
        <f>AA17*$E$15/About!$B$91</f>
        <v>1777.1943542442875</v>
      </c>
      <c r="AB24" s="71">
        <f>AB17*$E$15/About!$B$91</f>
        <v>1755.5205062446194</v>
      </c>
      <c r="AC24" s="71">
        <f>AC17*$E$15/About!$B$91</f>
        <v>1734.1109825637805</v>
      </c>
      <c r="AD24" s="71">
        <f>AD17*$E$15/About!$B$91</f>
        <v>1712.9625596234969</v>
      </c>
      <c r="AE24" s="71">
        <f>AE17*$E$15/About!$B$91</f>
        <v>1692.0720531587783</v>
      </c>
      <c r="AF24" s="71">
        <f>AF17*$E$15/About!$B$91</f>
        <v>1671.4363177384705</v>
      </c>
      <c r="AG24" s="71">
        <f>AG17*$E$15/About!$B$91</f>
        <v>1651.0522462916574</v>
      </c>
      <c r="AH24" s="71">
        <f>AH17*$E$15/About!$B$91</f>
        <v>1630.9167696398351</v>
      </c>
      <c r="AI24" s="71">
        <f>AI17*$E$15/About!$B$91</f>
        <v>1611.0268560347954</v>
      </c>
      <c r="AJ24" s="71">
        <f>AJ17*$E$15/About!$B$91</f>
        <v>1591.3795107021413</v>
      </c>
      <c r="AK24" s="71">
        <f>AK17*$E$15/About!$B$91</f>
        <v>1571.9717753903715</v>
      </c>
      <c r="AL24" s="71">
        <f>AL17*$E$15/About!$B$91</f>
        <v>1552.8007279254662</v>
      </c>
      <c r="AM24" s="71">
        <f>AM17*$E$15/About!$B$91</f>
        <v>1533.8634817708994</v>
      </c>
      <c r="AN24" s="71">
        <f>AN17*$E$15/About!$B$91</f>
        <v>1515.1571855930226</v>
      </c>
      <c r="AO24" s="71">
        <f>AO17*$E$15/About!$B$91</f>
        <v>1496.6790228317457</v>
      </c>
      <c r="AP24" s="71">
        <f>AP17*$E$15/About!$B$91</f>
        <v>1478.4262112764554</v>
      </c>
      <c r="AQ24" s="72">
        <f>AQ17*$E$15/About!$B$91</f>
        <v>1460.3960026471034</v>
      </c>
    </row>
    <row r="25" spans="2:43" s="24" customFormat="1" ht="15.75" thickBot="1">
      <c r="B25" s="73" t="s">
        <v>99</v>
      </c>
      <c r="C25" s="74">
        <f>C18*$E$15/About!$B$91</f>
        <v>0</v>
      </c>
      <c r="D25" s="74">
        <f>D18*$E$15/About!$B$91</f>
        <v>0</v>
      </c>
      <c r="E25" s="74">
        <f>E18*$E$15/About!$B$91</f>
        <v>0</v>
      </c>
      <c r="F25" s="74">
        <f>F18*$E$15/About!$B$91</f>
        <v>0</v>
      </c>
      <c r="G25" s="74">
        <f>G18*$E$15/About!$B$91</f>
        <v>0</v>
      </c>
      <c r="H25" s="74">
        <f>H18*$E$15/About!$B$91</f>
        <v>0</v>
      </c>
      <c r="I25" s="74">
        <f>I18*$E$15/About!$B$91</f>
        <v>0</v>
      </c>
      <c r="J25" s="74">
        <f>J18*$E$15/About!$B$91</f>
        <v>0</v>
      </c>
      <c r="K25" s="74">
        <f>K18*$E$15/About!$B$91</f>
        <v>4856.3437579455885</v>
      </c>
      <c r="L25" s="75">
        <f>L18*$E$15/About!$B$91</f>
        <v>4729.5026566708193</v>
      </c>
      <c r="M25" s="111">
        <f>M18*$E$15/About!$B$91</f>
        <v>4605.9744726388381</v>
      </c>
      <c r="N25" s="75">
        <f>N18*$E$15/About!$B$91</f>
        <v>4485.6726769520892</v>
      </c>
      <c r="O25" s="75">
        <f>O18*$E$15/About!$B$91</f>
        <v>4368.5130007302741</v>
      </c>
      <c r="P25" s="75">
        <f>P18*$E$15/About!$B$91</f>
        <v>4254.4133760817549</v>
      </c>
      <c r="Q25" s="75">
        <f>Q18*$E$15/About!$B$91</f>
        <v>4143.2938786167315</v>
      </c>
      <c r="R25" s="75">
        <f>R18*$E$15/About!$B$91</f>
        <v>4035.0766714618826</v>
      </c>
      <c r="S25" s="75">
        <f>S18*$E$15/About!$B$91</f>
        <v>3929.685950737271</v>
      </c>
      <c r="T25" s="75">
        <f>T18*$E$15/About!$B$91</f>
        <v>3827.0478924573185</v>
      </c>
      <c r="U25" s="75">
        <f>U18*$E$15/About!$B$91</f>
        <v>3727.0906008186553</v>
      </c>
      <c r="V25" s="75">
        <f>V18*$E$15/About!$B$91</f>
        <v>3629.7440578386204</v>
      </c>
      <c r="W25" s="75">
        <f>W18*$E$15/About!$B$91</f>
        <v>3534.9400743091337</v>
      </c>
      <c r="X25" s="75">
        <f>X18*$E$15/About!$B$91</f>
        <v>3442.6122420315928</v>
      </c>
      <c r="Y25" s="75">
        <f>Y18*$E$15/About!$B$91</f>
        <v>3352.6958872993214</v>
      </c>
      <c r="Z25" s="75">
        <f>Z18*$E$15/About!$B$91</f>
        <v>3265.1280255949978</v>
      </c>
      <c r="AA25" s="75">
        <f>AA18*$E$15/About!$B$91</f>
        <v>3179.8473174713245</v>
      </c>
      <c r="AB25" s="75">
        <f>AB18*$E$15/About!$B$91</f>
        <v>3096.7940255840331</v>
      </c>
      <c r="AC25" s="75">
        <f>AC18*$E$15/About!$B$91</f>
        <v>3015.9099728471292</v>
      </c>
      <c r="AD25" s="75">
        <f>AD18*$E$15/About!$B$91</f>
        <v>2937.1385016810696</v>
      </c>
      <c r="AE25" s="75">
        <f>AE18*$E$15/About!$B$91</f>
        <v>2860.4244343253117</v>
      </c>
      <c r="AF25" s="75">
        <f>AF18*$E$15/About!$B$91</f>
        <v>2785.7140341874588</v>
      </c>
      <c r="AG25" s="75">
        <f>AG18*$E$15/About!$B$91</f>
        <v>2712.954968201901</v>
      </c>
      <c r="AH25" s="75">
        <f>AH18*$E$15/About!$B$91</f>
        <v>2642.0962701716039</v>
      </c>
      <c r="AI25" s="75">
        <f>AI18*$E$15/About!$B$91</f>
        <v>2573.0883050673592</v>
      </c>
      <c r="AJ25" s="75">
        <f>AJ18*$E$15/About!$B$91</f>
        <v>2505.8827342594886</v>
      </c>
      <c r="AK25" s="75">
        <f>AK18*$E$15/About!$B$91</f>
        <v>2440.43248165765</v>
      </c>
      <c r="AL25" s="75">
        <f>AL18*$E$15/About!$B$91</f>
        <v>2376.6917007350235</v>
      </c>
      <c r="AM25" s="75">
        <f>AM18*$E$15/About!$B$91</f>
        <v>2314.6157424137855</v>
      </c>
      <c r="AN25" s="75">
        <f>AN18*$E$15/About!$B$91</f>
        <v>2254.1611237893658</v>
      </c>
      <c r="AO25" s="75">
        <f>AO18*$E$15/About!$B$91</f>
        <v>2195.2854976715876</v>
      </c>
      <c r="AP25" s="75">
        <f>AP18*$E$15/About!$B$91</f>
        <v>2137.9476229213474</v>
      </c>
      <c r="AQ25" s="76">
        <f>AQ18*$E$15/About!$B$91</f>
        <v>2082.1073355620692</v>
      </c>
    </row>
    <row r="26" spans="2:43" s="24" customFormat="1"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61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</row>
    <row r="27" spans="2:43" s="24" customFormat="1" ht="15.75" thickBot="1">
      <c r="B27" s="84" t="s">
        <v>214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61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</row>
    <row r="28" spans="2:43" s="24" customFormat="1">
      <c r="B28" s="85" t="s">
        <v>117</v>
      </c>
      <c r="C28" s="86"/>
      <c r="D28" s="87" t="s">
        <v>207</v>
      </c>
      <c r="E28" s="88" t="s">
        <v>208</v>
      </c>
      <c r="F28" s="34"/>
      <c r="G28" s="34"/>
      <c r="H28" s="34"/>
      <c r="I28" s="34"/>
      <c r="J28" s="34"/>
      <c r="K28" s="34"/>
      <c r="L28" s="34"/>
      <c r="M28" s="61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</row>
    <row r="29" spans="2:43" s="24" customFormat="1">
      <c r="B29" s="68"/>
      <c r="C29" s="89" t="s">
        <v>98</v>
      </c>
      <c r="D29" s="69">
        <f>(M16-R16)/5</f>
        <v>44.879999999999974</v>
      </c>
      <c r="E29" s="80">
        <f>(R16-W16)/5</f>
        <v>46.760000000000034</v>
      </c>
      <c r="F29" s="34"/>
      <c r="G29" s="34"/>
      <c r="H29" s="34"/>
      <c r="I29" s="34"/>
      <c r="J29" s="34"/>
      <c r="K29" s="34"/>
      <c r="L29" s="34"/>
      <c r="M29" s="61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</row>
    <row r="30" spans="2:43" s="24" customFormat="1" ht="15.75" thickBot="1">
      <c r="B30" s="73"/>
      <c r="C30" s="90" t="s">
        <v>103</v>
      </c>
      <c r="D30" s="74">
        <f>(M17-R17)/5</f>
        <v>40.5</v>
      </c>
      <c r="E30" s="83">
        <f>(R17-W17)/5</f>
        <v>23.5</v>
      </c>
      <c r="F30" s="34"/>
      <c r="G30" s="34"/>
      <c r="H30" s="34"/>
      <c r="I30" s="34"/>
      <c r="J30" s="34"/>
      <c r="K30" s="34"/>
      <c r="L30" s="34"/>
      <c r="M30" s="61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</row>
    <row r="31" spans="2:43" s="24" customFormat="1"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61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</row>
    <row r="32" spans="2:43" s="24" customFormat="1" ht="15.75" thickBot="1">
      <c r="B32" s="19" t="s">
        <v>215</v>
      </c>
    </row>
    <row r="33" spans="1:19" s="23" customFormat="1">
      <c r="A33" s="24"/>
      <c r="B33" s="85" t="s">
        <v>111</v>
      </c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91"/>
    </row>
    <row r="34" spans="1:19">
      <c r="A34" s="24"/>
      <c r="B34" s="94"/>
      <c r="C34" s="89" t="s">
        <v>104</v>
      </c>
      <c r="D34" s="89" t="s">
        <v>105</v>
      </c>
      <c r="E34" s="89" t="s">
        <v>213</v>
      </c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92"/>
    </row>
    <row r="35" spans="1:19">
      <c r="A35" s="24"/>
      <c r="B35" s="68">
        <v>2030</v>
      </c>
      <c r="C35" s="69">
        <v>340</v>
      </c>
      <c r="D35" s="69">
        <v>834</v>
      </c>
      <c r="E35" s="93">
        <v>0.3</v>
      </c>
      <c r="F35" s="89" t="s">
        <v>129</v>
      </c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92"/>
    </row>
    <row r="36" spans="1:19">
      <c r="A36" s="24"/>
      <c r="B36" s="68">
        <v>2050</v>
      </c>
      <c r="C36" s="69">
        <v>165</v>
      </c>
      <c r="D36" s="69">
        <v>481</v>
      </c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92"/>
    </row>
    <row r="37" spans="1:19">
      <c r="A37" s="24"/>
      <c r="B37" s="68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92"/>
    </row>
    <row r="38" spans="1:19">
      <c r="A38" s="24"/>
      <c r="B38" s="99" t="s">
        <v>109</v>
      </c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92"/>
    </row>
    <row r="39" spans="1:19">
      <c r="A39" s="24"/>
      <c r="B39" s="68"/>
      <c r="C39" s="89" t="s">
        <v>104</v>
      </c>
      <c r="D39" s="89" t="s">
        <v>105</v>
      </c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92"/>
    </row>
    <row r="40" spans="1:19">
      <c r="A40" s="24"/>
      <c r="B40" s="68">
        <v>2030</v>
      </c>
      <c r="C40" s="69">
        <v>800</v>
      </c>
      <c r="D40" s="69">
        <v>1350</v>
      </c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92"/>
    </row>
    <row r="41" spans="1:19">
      <c r="A41" s="24"/>
      <c r="B41" s="68">
        <v>2050</v>
      </c>
      <c r="C41" s="69">
        <v>650</v>
      </c>
      <c r="D41" s="69">
        <v>1000</v>
      </c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92"/>
    </row>
    <row r="42" spans="1:19">
      <c r="A42" s="24"/>
      <c r="B42" s="68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92"/>
    </row>
    <row r="43" spans="1:19">
      <c r="A43" s="24"/>
      <c r="B43" s="99" t="s">
        <v>106</v>
      </c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92"/>
    </row>
    <row r="44" spans="1:19">
      <c r="A44" s="24"/>
      <c r="B44" s="68"/>
      <c r="C44" s="89" t="s">
        <v>104</v>
      </c>
      <c r="D44" s="89" t="s">
        <v>105</v>
      </c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92"/>
    </row>
    <row r="45" spans="1:19">
      <c r="A45" s="24"/>
      <c r="B45" s="68">
        <v>2030</v>
      </c>
      <c r="C45" s="69">
        <v>1700</v>
      </c>
      <c r="D45" s="69">
        <v>3200</v>
      </c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92"/>
    </row>
    <row r="46" spans="1:19">
      <c r="A46" s="24"/>
      <c r="B46" s="68">
        <v>2050</v>
      </c>
      <c r="C46" s="69">
        <v>1400</v>
      </c>
      <c r="D46" s="69">
        <v>2800</v>
      </c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92"/>
    </row>
    <row r="47" spans="1:19" s="24" customFormat="1">
      <c r="B47" s="68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92"/>
    </row>
    <row r="48" spans="1:19" s="24" customFormat="1">
      <c r="B48" s="99" t="s">
        <v>117</v>
      </c>
      <c r="C48" s="89"/>
      <c r="D48" s="95" t="s">
        <v>115</v>
      </c>
      <c r="E48" s="95" t="s">
        <v>114</v>
      </c>
      <c r="F48" s="95" t="s">
        <v>116</v>
      </c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92"/>
    </row>
    <row r="49" spans="1:19" s="24" customFormat="1">
      <c r="B49" s="68"/>
      <c r="C49" s="89" t="s">
        <v>98</v>
      </c>
      <c r="D49" s="69">
        <f>ABS(R3-L3)/COUNT($M$2:$R$2)</f>
        <v>34.115833333333342</v>
      </c>
      <c r="E49" s="69">
        <f>ABS(R3-W3)/COUNT($S$2:$W$2)</f>
        <v>60.36</v>
      </c>
      <c r="F49" s="69">
        <f>ABS(W3-AQ3)/COUNT($X$2:$AQ$2)</f>
        <v>11.419999999999998</v>
      </c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92"/>
    </row>
    <row r="50" spans="1:19" s="24" customFormat="1">
      <c r="B50" s="68"/>
      <c r="C50" s="89" t="s">
        <v>103</v>
      </c>
      <c r="D50" s="69">
        <f>ABS(R4-L4)/COUNT($M$2:$R$2)</f>
        <v>17.166666666666668</v>
      </c>
      <c r="E50" s="69">
        <f>ABS(R4-W4)/COUNT($S$2:$W$2)</f>
        <v>81</v>
      </c>
      <c r="F50" s="69">
        <f>ABS(W4-AQ4)/COUNT($X$2:$AQ$2)</f>
        <v>10.5</v>
      </c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92"/>
    </row>
    <row r="51" spans="1:19" s="24" customFormat="1">
      <c r="B51" s="68"/>
      <c r="C51" s="89" t="s">
        <v>99</v>
      </c>
      <c r="D51" s="69">
        <f>ABS(R5-L5)/COUNT($M$2:$R$2)</f>
        <v>25</v>
      </c>
      <c r="E51" s="69">
        <f>ABS(R5-W5)/COUNT($S$2:$W$2)</f>
        <v>360</v>
      </c>
      <c r="F51" s="69">
        <f>ABS(W5-AQ5)/COUNT($X$2:$AQ$2)</f>
        <v>16.5</v>
      </c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92"/>
    </row>
    <row r="52" spans="1:19" s="24" customFormat="1">
      <c r="B52" s="68"/>
      <c r="C52" s="89" t="s">
        <v>113</v>
      </c>
      <c r="D52" s="89" t="s">
        <v>119</v>
      </c>
      <c r="E52" s="89"/>
      <c r="F52" s="89"/>
      <c r="G52" s="89"/>
      <c r="H52" s="96" t="s">
        <v>121</v>
      </c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92"/>
    </row>
    <row r="53" spans="1:19" s="24" customFormat="1" ht="15.75" thickBot="1">
      <c r="B53" s="73"/>
      <c r="C53" s="90" t="s">
        <v>112</v>
      </c>
      <c r="D53" s="90" t="s">
        <v>120</v>
      </c>
      <c r="E53" s="90"/>
      <c r="F53" s="90"/>
      <c r="G53" s="90"/>
      <c r="H53" s="97" t="s">
        <v>122</v>
      </c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8"/>
    </row>
    <row r="54" spans="1:19" s="24" customFormat="1"/>
    <row r="55" spans="1:19" s="24" customFormat="1">
      <c r="B55" s="19" t="s">
        <v>197</v>
      </c>
    </row>
    <row r="56" spans="1:19" s="24" customFormat="1">
      <c r="B56" s="27" t="s">
        <v>125</v>
      </c>
      <c r="C56" s="25">
        <v>7.0000000000000007E-2</v>
      </c>
    </row>
    <row r="57" spans="1:19" s="24" customFormat="1">
      <c r="B57" s="27" t="s">
        <v>126</v>
      </c>
      <c r="C57" s="36">
        <v>0.03</v>
      </c>
    </row>
    <row r="58" spans="1:19" s="24" customFormat="1">
      <c r="B58" s="27" t="s">
        <v>127</v>
      </c>
      <c r="C58" s="25">
        <v>0.01</v>
      </c>
    </row>
    <row r="59" spans="1:19" s="24" customFormat="1">
      <c r="A59" s="27"/>
    </row>
    <row r="60" spans="1:19" s="24" customFormat="1">
      <c r="A60" s="19" t="s">
        <v>97</v>
      </c>
      <c r="F60" s="26"/>
    </row>
    <row r="61" spans="1:19">
      <c r="A61" t="s">
        <v>219</v>
      </c>
    </row>
    <row r="62" spans="1:19" s="24" customFormat="1">
      <c r="A62" s="19"/>
    </row>
    <row r="65" spans="1:1">
      <c r="A65" s="24"/>
    </row>
    <row r="66" spans="1:1">
      <c r="A66" s="26"/>
    </row>
    <row r="67" spans="1:1">
      <c r="A67" s="26"/>
    </row>
    <row r="73" spans="1:1">
      <c r="A73" t="s">
        <v>220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8A727-E2A2-4352-B015-C816540076DD}">
  <dimension ref="A1:H49"/>
  <sheetViews>
    <sheetView workbookViewId="0">
      <selection activeCell="L45" sqref="L45"/>
    </sheetView>
  </sheetViews>
  <sheetFormatPr defaultColWidth="8.85546875" defaultRowHeight="15"/>
  <cols>
    <col min="3" max="3" width="28.85546875" bestFit="1" customWidth="1"/>
  </cols>
  <sheetData>
    <row r="1" spans="1:6">
      <c r="A1" t="s">
        <v>64</v>
      </c>
    </row>
    <row r="2" spans="1:6">
      <c r="C2" t="s">
        <v>83</v>
      </c>
    </row>
    <row r="4" spans="1:6">
      <c r="C4" s="19" t="s">
        <v>90</v>
      </c>
      <c r="D4">
        <v>2016</v>
      </c>
      <c r="E4">
        <v>2017</v>
      </c>
      <c r="F4">
        <v>2018</v>
      </c>
    </row>
    <row r="5" spans="1:6">
      <c r="C5" t="s">
        <v>67</v>
      </c>
      <c r="D5">
        <v>27.7</v>
      </c>
      <c r="E5">
        <v>28.5</v>
      </c>
      <c r="F5">
        <v>28.2</v>
      </c>
    </row>
    <row r="6" spans="1:6">
      <c r="C6" t="s">
        <v>66</v>
      </c>
      <c r="D6">
        <v>40</v>
      </c>
      <c r="E6">
        <v>39.5</v>
      </c>
      <c r="F6">
        <v>38.5</v>
      </c>
    </row>
    <row r="7" spans="1:6">
      <c r="C7" t="s">
        <v>65</v>
      </c>
      <c r="D7">
        <v>15.5</v>
      </c>
      <c r="E7">
        <v>15.7</v>
      </c>
      <c r="F7">
        <v>18</v>
      </c>
    </row>
    <row r="8" spans="1:6">
      <c r="C8" t="s">
        <v>68</v>
      </c>
      <c r="D8">
        <v>0.5</v>
      </c>
      <c r="E8">
        <v>0.5</v>
      </c>
      <c r="F8">
        <v>0.5</v>
      </c>
    </row>
    <row r="9" spans="1:6">
      <c r="C9" t="s">
        <v>69</v>
      </c>
      <c r="D9">
        <v>11.6</v>
      </c>
      <c r="E9">
        <v>10.5</v>
      </c>
      <c r="F9">
        <v>9.1999999999999993</v>
      </c>
    </row>
    <row r="10" spans="1:6">
      <c r="C10" t="s">
        <v>70</v>
      </c>
      <c r="D10">
        <v>4.5999999999999996</v>
      </c>
      <c r="E10">
        <v>5.2</v>
      </c>
      <c r="F10">
        <v>5.6</v>
      </c>
    </row>
    <row r="12" spans="1:6" s="17" customFormat="1">
      <c r="F12" s="17" t="s">
        <v>79</v>
      </c>
    </row>
    <row r="13" spans="1:6" s="17" customFormat="1">
      <c r="C13" s="19" t="s">
        <v>71</v>
      </c>
      <c r="D13" s="17">
        <v>2016</v>
      </c>
      <c r="E13" s="17">
        <v>2017</v>
      </c>
      <c r="F13" s="17">
        <v>2018</v>
      </c>
    </row>
    <row r="14" spans="1:6">
      <c r="C14" t="s">
        <v>72</v>
      </c>
      <c r="D14">
        <v>9424</v>
      </c>
      <c r="E14">
        <v>7003</v>
      </c>
      <c r="F14">
        <v>8126</v>
      </c>
    </row>
    <row r="15" spans="1:6">
      <c r="C15" t="s">
        <v>73</v>
      </c>
      <c r="D15">
        <v>118468</v>
      </c>
      <c r="E15">
        <v>131464</v>
      </c>
      <c r="F15">
        <v>131520</v>
      </c>
    </row>
    <row r="16" spans="1:6">
      <c r="C16" t="s">
        <v>74</v>
      </c>
      <c r="D16">
        <v>7038</v>
      </c>
      <c r="E16">
        <v>10210</v>
      </c>
      <c r="F16">
        <v>9450</v>
      </c>
    </row>
    <row r="17" spans="3:6">
      <c r="C17" t="s">
        <v>75</v>
      </c>
      <c r="D17">
        <v>1078119</v>
      </c>
      <c r="E17">
        <v>1118167</v>
      </c>
      <c r="F17">
        <v>1116281</v>
      </c>
    </row>
    <row r="18" spans="3:6">
      <c r="C18" t="s">
        <v>76</v>
      </c>
      <c r="D18">
        <v>334608</v>
      </c>
      <c r="E18">
        <v>314487</v>
      </c>
      <c r="F18">
        <v>341628</v>
      </c>
    </row>
    <row r="19" spans="3:6">
      <c r="C19" t="s">
        <v>65</v>
      </c>
      <c r="D19">
        <v>33453</v>
      </c>
      <c r="E19">
        <v>37537</v>
      </c>
      <c r="F19">
        <v>44015</v>
      </c>
    </row>
    <row r="20" spans="3:6">
      <c r="C20" t="s">
        <v>77</v>
      </c>
      <c r="D20">
        <v>752</v>
      </c>
      <c r="E20">
        <v>1012</v>
      </c>
      <c r="F20">
        <v>723</v>
      </c>
    </row>
    <row r="22" spans="3:6">
      <c r="C22" s="19" t="s">
        <v>78</v>
      </c>
      <c r="D22" s="17">
        <v>2016</v>
      </c>
      <c r="E22" s="17">
        <v>2017</v>
      </c>
      <c r="F22" s="17">
        <v>2018</v>
      </c>
    </row>
    <row r="23" spans="3:6">
      <c r="C23" s="17" t="s">
        <v>76</v>
      </c>
      <c r="D23">
        <v>487716</v>
      </c>
      <c r="E23">
        <v>509113</v>
      </c>
      <c r="F23">
        <v>531563</v>
      </c>
    </row>
    <row r="25" spans="3:6" s="17" customFormat="1">
      <c r="F25" s="17" t="s">
        <v>82</v>
      </c>
    </row>
    <row r="26" spans="3:6">
      <c r="C26" s="19" t="s">
        <v>80</v>
      </c>
      <c r="D26" s="17">
        <v>2016</v>
      </c>
      <c r="E26" s="17">
        <v>2017</v>
      </c>
      <c r="F26" s="17">
        <v>2018</v>
      </c>
    </row>
    <row r="27" spans="3:6">
      <c r="C27" s="17" t="s">
        <v>72</v>
      </c>
      <c r="D27">
        <v>759</v>
      </c>
      <c r="E27">
        <v>933</v>
      </c>
      <c r="F27">
        <v>1199</v>
      </c>
    </row>
    <row r="28" spans="3:6">
      <c r="C28" s="17" t="s">
        <v>73</v>
      </c>
      <c r="D28">
        <v>8168</v>
      </c>
      <c r="E28">
        <v>13481</v>
      </c>
      <c r="F28">
        <v>14668</v>
      </c>
    </row>
    <row r="29" spans="3:6">
      <c r="C29" s="17" t="s">
        <v>74</v>
      </c>
      <c r="D29">
        <v>383</v>
      </c>
      <c r="E29">
        <v>765</v>
      </c>
      <c r="F29">
        <v>835</v>
      </c>
    </row>
    <row r="30" spans="3:6">
      <c r="C30" s="17" t="s">
        <v>75</v>
      </c>
      <c r="D30">
        <v>44295</v>
      </c>
      <c r="E30">
        <v>59603</v>
      </c>
      <c r="F30">
        <v>80393</v>
      </c>
    </row>
    <row r="31" spans="3:6">
      <c r="C31" s="17" t="s">
        <v>81</v>
      </c>
      <c r="D31">
        <v>8933</v>
      </c>
      <c r="E31">
        <v>10899</v>
      </c>
      <c r="F31">
        <v>15671</v>
      </c>
    </row>
    <row r="32" spans="3:6" s="17" customFormat="1">
      <c r="C32" s="17" t="s">
        <v>63</v>
      </c>
      <c r="D32" s="17">
        <v>2576</v>
      </c>
      <c r="E32" s="17">
        <v>2959</v>
      </c>
      <c r="F32" s="17">
        <v>3665</v>
      </c>
    </row>
    <row r="33" spans="3:8">
      <c r="C33" s="17" t="s">
        <v>65</v>
      </c>
      <c r="D33">
        <v>12170</v>
      </c>
      <c r="E33">
        <v>15616</v>
      </c>
      <c r="F33">
        <v>23189</v>
      </c>
    </row>
    <row r="34" spans="3:8">
      <c r="C34" s="17" t="s">
        <v>77</v>
      </c>
      <c r="D34">
        <v>589</v>
      </c>
      <c r="E34">
        <v>991</v>
      </c>
      <c r="F34">
        <v>576</v>
      </c>
    </row>
    <row r="36" spans="3:8">
      <c r="C36" s="19" t="s">
        <v>85</v>
      </c>
    </row>
    <row r="37" spans="3:8" s="17" customFormat="1"/>
    <row r="38" spans="3:8">
      <c r="C38" s="19" t="s">
        <v>84</v>
      </c>
      <c r="D38" s="17">
        <v>2016</v>
      </c>
      <c r="E38" s="17">
        <v>2017</v>
      </c>
      <c r="F38" s="17">
        <v>2018</v>
      </c>
    </row>
    <row r="39" spans="3:8">
      <c r="C39" s="17" t="s">
        <v>72</v>
      </c>
      <c r="D39">
        <v>1373</v>
      </c>
      <c r="E39">
        <v>1244</v>
      </c>
      <c r="F39">
        <v>1099</v>
      </c>
      <c r="G39" s="17" t="s">
        <v>86</v>
      </c>
      <c r="H39" s="20" t="s">
        <v>92</v>
      </c>
    </row>
    <row r="40" spans="3:8">
      <c r="C40" s="17" t="s">
        <v>65</v>
      </c>
      <c r="D40">
        <v>118</v>
      </c>
      <c r="E40">
        <v>261</v>
      </c>
      <c r="F40">
        <v>234</v>
      </c>
      <c r="G40" s="17" t="s">
        <v>86</v>
      </c>
    </row>
    <row r="41" spans="3:8">
      <c r="C41" s="17" t="s">
        <v>68</v>
      </c>
      <c r="D41">
        <v>6634</v>
      </c>
      <c r="E41">
        <v>6995</v>
      </c>
      <c r="F41">
        <v>7270</v>
      </c>
      <c r="G41" t="s">
        <v>89</v>
      </c>
    </row>
    <row r="42" spans="3:8">
      <c r="C42" s="17" t="s">
        <v>70</v>
      </c>
      <c r="D42">
        <v>13575</v>
      </c>
      <c r="E42">
        <v>15848</v>
      </c>
      <c r="F42">
        <v>17119</v>
      </c>
      <c r="G42" t="s">
        <v>91</v>
      </c>
    </row>
    <row r="44" spans="3:8" s="17" customFormat="1"/>
    <row r="45" spans="3:8">
      <c r="C45" s="19" t="s">
        <v>87</v>
      </c>
      <c r="D45" s="17">
        <v>2016</v>
      </c>
      <c r="E45" s="17">
        <v>2017</v>
      </c>
      <c r="F45" s="17">
        <v>2018</v>
      </c>
    </row>
    <row r="46" spans="3:8">
      <c r="C46" t="s">
        <v>67</v>
      </c>
      <c r="D46">
        <v>127936</v>
      </c>
      <c r="E46">
        <v>138506</v>
      </c>
      <c r="F46">
        <v>139876</v>
      </c>
      <c r="G46" s="17" t="s">
        <v>86</v>
      </c>
    </row>
    <row r="47" spans="3:8">
      <c r="C47" s="17" t="s">
        <v>66</v>
      </c>
      <c r="D47">
        <v>921082</v>
      </c>
      <c r="E47">
        <v>937095</v>
      </c>
      <c r="F47">
        <v>931787</v>
      </c>
      <c r="G47" t="s">
        <v>88</v>
      </c>
    </row>
    <row r="48" spans="3:8">
      <c r="C48" s="17" t="s">
        <v>69</v>
      </c>
      <c r="D48">
        <v>161995</v>
      </c>
      <c r="E48">
        <v>148427</v>
      </c>
      <c r="F48">
        <v>133505</v>
      </c>
      <c r="G48" t="s">
        <v>89</v>
      </c>
    </row>
    <row r="49" spans="3:7">
      <c r="C49" s="17" t="s">
        <v>65</v>
      </c>
      <c r="D49">
        <v>34788</v>
      </c>
      <c r="E49">
        <v>36138</v>
      </c>
      <c r="F49">
        <v>42051</v>
      </c>
      <c r="G49" t="s">
        <v>86</v>
      </c>
    </row>
  </sheetData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23"/>
  <sheetViews>
    <sheetView workbookViewId="0">
      <selection activeCell="E35" sqref="E35"/>
    </sheetView>
  </sheetViews>
  <sheetFormatPr defaultColWidth="9.140625" defaultRowHeight="15"/>
  <cols>
    <col min="1" max="1" width="26.5703125" style="3" customWidth="1"/>
    <col min="2" max="16384" width="9.140625" style="3"/>
  </cols>
  <sheetData>
    <row r="1" spans="1:34">
      <c r="A1" s="3" t="s">
        <v>12</v>
      </c>
      <c r="B1" s="3">
        <v>2020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  <c r="Q1" s="3">
        <v>2035</v>
      </c>
      <c r="R1" s="3">
        <v>2036</v>
      </c>
      <c r="S1" s="3">
        <v>2037</v>
      </c>
      <c r="T1" s="3">
        <v>2038</v>
      </c>
      <c r="U1" s="3">
        <v>2039</v>
      </c>
      <c r="V1" s="3">
        <v>2040</v>
      </c>
      <c r="W1" s="3">
        <v>2041</v>
      </c>
      <c r="X1" s="3">
        <v>2042</v>
      </c>
      <c r="Y1" s="3">
        <v>2043</v>
      </c>
      <c r="Z1" s="3">
        <v>2044</v>
      </c>
      <c r="AA1" s="3">
        <v>2045</v>
      </c>
      <c r="AB1" s="3">
        <v>2046</v>
      </c>
      <c r="AC1" s="3">
        <v>2047</v>
      </c>
      <c r="AD1" s="3">
        <v>2048</v>
      </c>
      <c r="AE1" s="3">
        <v>2049</v>
      </c>
      <c r="AF1" s="3">
        <v>2050</v>
      </c>
    </row>
    <row r="2" spans="1:34">
      <c r="A2" s="28" t="s">
        <v>13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</row>
    <row r="3" spans="1:34">
      <c r="A3" s="29" t="s">
        <v>36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9"/>
      <c r="AH3" s="9"/>
    </row>
    <row r="4" spans="1:34">
      <c r="A4" s="29" t="s">
        <v>14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9"/>
      <c r="AH4" s="9"/>
    </row>
    <row r="5" spans="1:34">
      <c r="A5" s="28" t="s">
        <v>7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</row>
    <row r="6" spans="1:34">
      <c r="A6" s="29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</row>
    <row r="7" spans="1:34">
      <c r="A7" s="29" t="s">
        <v>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</row>
    <row r="8" spans="1:34">
      <c r="A8" s="29" t="s">
        <v>2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</row>
    <row r="9" spans="1:34">
      <c r="A9" s="28" t="s">
        <v>15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12"/>
      <c r="AH9" s="12"/>
    </row>
    <row r="10" spans="1:34">
      <c r="A10" s="28" t="s">
        <v>16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9"/>
      <c r="AH10" s="9"/>
    </row>
    <row r="11" spans="1:34">
      <c r="A11" s="28" t="s">
        <v>17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9"/>
      <c r="AH11" s="9"/>
    </row>
    <row r="12" spans="1:34">
      <c r="A12" s="28" t="s">
        <v>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</row>
    <row r="13" spans="1:34">
      <c r="A13" s="28" t="s">
        <v>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</row>
    <row r="14" spans="1:34">
      <c r="A14" s="28" t="s">
        <v>18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9"/>
      <c r="AH14" s="9"/>
    </row>
    <row r="15" spans="1:34">
      <c r="A15" s="28" t="s">
        <v>21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</row>
    <row r="16" spans="1:34">
      <c r="A16" s="28" t="s">
        <v>27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</row>
    <row r="17" spans="1:34">
      <c r="A17" s="28" t="s">
        <v>33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9"/>
      <c r="AH17" s="9"/>
    </row>
    <row r="18" spans="1:34">
      <c r="A18" s="28" t="s">
        <v>53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9"/>
      <c r="AH18" s="9"/>
    </row>
    <row r="19" spans="1:34">
      <c r="A19" s="28" t="s">
        <v>54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9"/>
      <c r="AH19" s="9"/>
    </row>
    <row r="20" spans="1:34">
      <c r="A20" s="28" t="s">
        <v>55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</row>
    <row r="21" spans="1:34">
      <c r="A21" s="28" t="s">
        <v>56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</row>
    <row r="22" spans="1:34">
      <c r="A22" s="28" t="s">
        <v>52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</row>
    <row r="23" spans="1:34">
      <c r="A23" s="28"/>
    </row>
  </sheetData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7"/>
  <sheetViews>
    <sheetView workbookViewId="0">
      <selection activeCell="J35" sqref="J35"/>
    </sheetView>
  </sheetViews>
  <sheetFormatPr defaultColWidth="8.85546875" defaultRowHeight="15"/>
  <cols>
    <col min="1" max="1" width="32.42578125" customWidth="1"/>
    <col min="2" max="2" width="9.85546875" bestFit="1" customWidth="1"/>
  </cols>
  <sheetData>
    <row r="1" spans="1:36">
      <c r="A1" t="s">
        <v>12</v>
      </c>
      <c r="B1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  <c r="AG1" s="4"/>
      <c r="AH1" s="4"/>
    </row>
    <row r="2" spans="1:36">
      <c r="A2" s="2" t="s">
        <v>37</v>
      </c>
      <c r="B2" s="8">
        <f>'Subsidies Paid'!G3/'Subsidies Paid'!N17</f>
        <v>8.5263156814663673E-3</v>
      </c>
      <c r="C2" s="8">
        <f>B2</f>
        <v>8.5263156814663673E-3</v>
      </c>
      <c r="D2" s="8">
        <f t="shared" ref="D2:AF2" si="0">C2</f>
        <v>8.5263156814663673E-3</v>
      </c>
      <c r="E2" s="8">
        <f t="shared" si="0"/>
        <v>8.5263156814663673E-3</v>
      </c>
      <c r="F2" s="8">
        <f t="shared" si="0"/>
        <v>8.5263156814663673E-3</v>
      </c>
      <c r="G2" s="8">
        <f t="shared" si="0"/>
        <v>8.5263156814663673E-3</v>
      </c>
      <c r="H2" s="8">
        <f t="shared" si="0"/>
        <v>8.5263156814663673E-3</v>
      </c>
      <c r="I2" s="8">
        <f t="shared" si="0"/>
        <v>8.5263156814663673E-3</v>
      </c>
      <c r="J2" s="8">
        <f t="shared" si="0"/>
        <v>8.5263156814663673E-3</v>
      </c>
      <c r="K2" s="8">
        <f t="shared" si="0"/>
        <v>8.5263156814663673E-3</v>
      </c>
      <c r="L2" s="8">
        <f t="shared" si="0"/>
        <v>8.5263156814663673E-3</v>
      </c>
      <c r="M2" s="8">
        <f t="shared" si="0"/>
        <v>8.5263156814663673E-3</v>
      </c>
      <c r="N2" s="8">
        <f t="shared" si="0"/>
        <v>8.5263156814663673E-3</v>
      </c>
      <c r="O2" s="8">
        <f t="shared" si="0"/>
        <v>8.5263156814663673E-3</v>
      </c>
      <c r="P2" s="8">
        <f t="shared" si="0"/>
        <v>8.5263156814663673E-3</v>
      </c>
      <c r="Q2" s="8">
        <f t="shared" si="0"/>
        <v>8.5263156814663673E-3</v>
      </c>
      <c r="R2" s="8">
        <f t="shared" si="0"/>
        <v>8.5263156814663673E-3</v>
      </c>
      <c r="S2" s="8">
        <f t="shared" si="0"/>
        <v>8.5263156814663673E-3</v>
      </c>
      <c r="T2" s="8">
        <f t="shared" si="0"/>
        <v>8.5263156814663673E-3</v>
      </c>
      <c r="U2" s="8">
        <f t="shared" si="0"/>
        <v>8.5263156814663673E-3</v>
      </c>
      <c r="V2" s="8">
        <f t="shared" si="0"/>
        <v>8.5263156814663673E-3</v>
      </c>
      <c r="W2" s="8">
        <f t="shared" si="0"/>
        <v>8.5263156814663673E-3</v>
      </c>
      <c r="X2" s="8">
        <f t="shared" si="0"/>
        <v>8.5263156814663673E-3</v>
      </c>
      <c r="Y2" s="8">
        <f t="shared" si="0"/>
        <v>8.5263156814663673E-3</v>
      </c>
      <c r="Z2" s="8">
        <f t="shared" si="0"/>
        <v>8.5263156814663673E-3</v>
      </c>
      <c r="AA2" s="8">
        <f t="shared" si="0"/>
        <v>8.5263156814663673E-3</v>
      </c>
      <c r="AB2" s="8">
        <f t="shared" si="0"/>
        <v>8.5263156814663673E-3</v>
      </c>
      <c r="AC2" s="8">
        <f t="shared" si="0"/>
        <v>8.5263156814663673E-3</v>
      </c>
      <c r="AD2" s="8">
        <f t="shared" si="0"/>
        <v>8.5263156814663673E-3</v>
      </c>
      <c r="AE2" s="8">
        <f t="shared" si="0"/>
        <v>8.5263156814663673E-3</v>
      </c>
      <c r="AF2" s="8">
        <f t="shared" si="0"/>
        <v>8.5263156814663673E-3</v>
      </c>
      <c r="AG2" s="8"/>
      <c r="AH2" s="8"/>
    </row>
    <row r="3" spans="1:36">
      <c r="A3" s="2" t="s">
        <v>29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/>
      <c r="AH3" s="4"/>
      <c r="AI3" s="4"/>
      <c r="AJ3" s="4"/>
    </row>
    <row r="4" spans="1:36">
      <c r="A4" s="2" t="s">
        <v>19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8"/>
      <c r="AH4" s="8"/>
    </row>
    <row r="5" spans="1:36">
      <c r="A5" s="2" t="s">
        <v>20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8"/>
      <c r="AH5" s="8"/>
    </row>
    <row r="6" spans="1:36">
      <c r="A6" s="2" t="s">
        <v>38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8"/>
      <c r="AH6" s="8"/>
    </row>
    <row r="7" spans="1:36">
      <c r="A7" s="2" t="s">
        <v>22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/>
      <c r="AH7" s="11"/>
    </row>
    <row r="8" spans="1:36">
      <c r="A8" s="2" t="s">
        <v>23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/>
      <c r="AH8" s="11"/>
    </row>
    <row r="9" spans="1:36">
      <c r="A9" s="2" t="s">
        <v>28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8"/>
      <c r="AH9" s="8"/>
    </row>
    <row r="10" spans="1:36">
      <c r="A10" s="2" t="s">
        <v>31</v>
      </c>
      <c r="B10" s="4">
        <v>0</v>
      </c>
      <c r="C10" s="4">
        <v>0</v>
      </c>
      <c r="D10" s="4">
        <v>0</v>
      </c>
      <c r="E10" s="24">
        <v>0</v>
      </c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24">
        <v>0</v>
      </c>
      <c r="T10" s="24">
        <v>0</v>
      </c>
      <c r="U10" s="24">
        <v>0</v>
      </c>
      <c r="V10" s="24">
        <v>0</v>
      </c>
      <c r="W10" s="24">
        <v>0</v>
      </c>
      <c r="X10" s="24">
        <v>0</v>
      </c>
      <c r="Y10" s="24">
        <v>0</v>
      </c>
      <c r="Z10" s="24">
        <v>0</v>
      </c>
      <c r="AA10" s="24">
        <v>0</v>
      </c>
      <c r="AB10" s="24">
        <v>0</v>
      </c>
      <c r="AC10" s="24">
        <v>0</v>
      </c>
      <c r="AD10" s="24">
        <v>0</v>
      </c>
      <c r="AE10" s="24">
        <v>0</v>
      </c>
      <c r="AF10" s="24">
        <v>0</v>
      </c>
      <c r="AG10" s="4"/>
      <c r="AH10" s="4"/>
    </row>
    <row r="11" spans="1:36">
      <c r="A11" s="2" t="s">
        <v>30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/>
      <c r="AH11" s="4"/>
    </row>
    <row r="12" spans="1:36">
      <c r="A12" s="2" t="s">
        <v>32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/>
      <c r="AH12" s="4"/>
    </row>
    <row r="13" spans="1:36">
      <c r="A13" s="2" t="s">
        <v>34</v>
      </c>
      <c r="B13" s="8">
        <f>B2*'Subsidies Paid'!$G$13</f>
        <v>9.6477023782316778E-5</v>
      </c>
      <c r="C13" s="8">
        <f>B13</f>
        <v>9.6477023782316778E-5</v>
      </c>
      <c r="D13" s="8">
        <f>C13</f>
        <v>9.6477023782316778E-5</v>
      </c>
      <c r="E13" s="8">
        <f>D13</f>
        <v>9.6477023782316778E-5</v>
      </c>
      <c r="F13" s="8">
        <f t="shared" ref="F13:AF13" si="1">E13</f>
        <v>9.6477023782316778E-5</v>
      </c>
      <c r="G13" s="8">
        <f t="shared" si="1"/>
        <v>9.6477023782316778E-5</v>
      </c>
      <c r="H13" s="8">
        <f t="shared" si="1"/>
        <v>9.6477023782316778E-5</v>
      </c>
      <c r="I13" s="8">
        <f t="shared" si="1"/>
        <v>9.6477023782316778E-5</v>
      </c>
      <c r="J13" s="8">
        <f t="shared" si="1"/>
        <v>9.6477023782316778E-5</v>
      </c>
      <c r="K13" s="8">
        <f t="shared" si="1"/>
        <v>9.6477023782316778E-5</v>
      </c>
      <c r="L13" s="8">
        <f t="shared" si="1"/>
        <v>9.6477023782316778E-5</v>
      </c>
      <c r="M13" s="8">
        <f t="shared" si="1"/>
        <v>9.6477023782316778E-5</v>
      </c>
      <c r="N13" s="8">
        <f t="shared" si="1"/>
        <v>9.6477023782316778E-5</v>
      </c>
      <c r="O13" s="8">
        <f t="shared" si="1"/>
        <v>9.6477023782316778E-5</v>
      </c>
      <c r="P13" s="8">
        <f t="shared" si="1"/>
        <v>9.6477023782316778E-5</v>
      </c>
      <c r="Q13" s="8">
        <f t="shared" si="1"/>
        <v>9.6477023782316778E-5</v>
      </c>
      <c r="R13" s="8">
        <f t="shared" si="1"/>
        <v>9.6477023782316778E-5</v>
      </c>
      <c r="S13" s="8">
        <f t="shared" si="1"/>
        <v>9.6477023782316778E-5</v>
      </c>
      <c r="T13" s="8">
        <f t="shared" si="1"/>
        <v>9.6477023782316778E-5</v>
      </c>
      <c r="U13" s="8">
        <f t="shared" si="1"/>
        <v>9.6477023782316778E-5</v>
      </c>
      <c r="V13" s="8">
        <f t="shared" si="1"/>
        <v>9.6477023782316778E-5</v>
      </c>
      <c r="W13" s="8">
        <f t="shared" si="1"/>
        <v>9.6477023782316778E-5</v>
      </c>
      <c r="X13" s="8">
        <f t="shared" si="1"/>
        <v>9.6477023782316778E-5</v>
      </c>
      <c r="Y13" s="8">
        <f t="shared" si="1"/>
        <v>9.6477023782316778E-5</v>
      </c>
      <c r="Z13" s="8">
        <f t="shared" si="1"/>
        <v>9.6477023782316778E-5</v>
      </c>
      <c r="AA13" s="8">
        <f t="shared" si="1"/>
        <v>9.6477023782316778E-5</v>
      </c>
      <c r="AB13" s="8">
        <f t="shared" si="1"/>
        <v>9.6477023782316778E-5</v>
      </c>
      <c r="AC13" s="8">
        <f t="shared" si="1"/>
        <v>9.6477023782316778E-5</v>
      </c>
      <c r="AD13" s="8">
        <f t="shared" si="1"/>
        <v>9.6477023782316778E-5</v>
      </c>
      <c r="AE13" s="8">
        <f t="shared" si="1"/>
        <v>9.6477023782316778E-5</v>
      </c>
      <c r="AF13" s="8">
        <f t="shared" si="1"/>
        <v>9.6477023782316778E-5</v>
      </c>
      <c r="AG13" s="8"/>
      <c r="AH13" s="8"/>
    </row>
    <row r="14" spans="1:36">
      <c r="A14" s="2" t="s">
        <v>35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8"/>
      <c r="AH14" s="8"/>
    </row>
    <row r="15" spans="1:36">
      <c r="A15" s="2" t="s">
        <v>57</v>
      </c>
      <c r="B15" s="4">
        <f>B11</f>
        <v>0</v>
      </c>
      <c r="C15" s="4">
        <f t="shared" ref="C15:AF15" si="2">C11</f>
        <v>0</v>
      </c>
      <c r="D15" s="4">
        <f t="shared" si="2"/>
        <v>0</v>
      </c>
      <c r="E15" s="4">
        <f t="shared" si="2"/>
        <v>0</v>
      </c>
      <c r="F15" s="4">
        <f t="shared" si="2"/>
        <v>0</v>
      </c>
      <c r="G15" s="4">
        <f t="shared" si="2"/>
        <v>0</v>
      </c>
      <c r="H15" s="4">
        <f t="shared" si="2"/>
        <v>0</v>
      </c>
      <c r="I15" s="4">
        <f t="shared" si="2"/>
        <v>0</v>
      </c>
      <c r="J15" s="4">
        <f t="shared" si="2"/>
        <v>0</v>
      </c>
      <c r="K15" s="4">
        <f t="shared" si="2"/>
        <v>0</v>
      </c>
      <c r="L15" s="4">
        <f t="shared" si="2"/>
        <v>0</v>
      </c>
      <c r="M15" s="4">
        <f t="shared" si="2"/>
        <v>0</v>
      </c>
      <c r="N15" s="4">
        <f t="shared" si="2"/>
        <v>0</v>
      </c>
      <c r="O15" s="4">
        <f t="shared" si="2"/>
        <v>0</v>
      </c>
      <c r="P15" s="4">
        <f t="shared" si="2"/>
        <v>0</v>
      </c>
      <c r="Q15" s="4">
        <f t="shared" si="2"/>
        <v>0</v>
      </c>
      <c r="R15" s="4">
        <f t="shared" si="2"/>
        <v>0</v>
      </c>
      <c r="S15" s="4">
        <f t="shared" si="2"/>
        <v>0</v>
      </c>
      <c r="T15" s="4">
        <f t="shared" si="2"/>
        <v>0</v>
      </c>
      <c r="U15" s="4">
        <f t="shared" si="2"/>
        <v>0</v>
      </c>
      <c r="V15" s="4">
        <f t="shared" si="2"/>
        <v>0</v>
      </c>
      <c r="W15" s="4">
        <f t="shared" si="2"/>
        <v>0</v>
      </c>
      <c r="X15" s="4">
        <f t="shared" si="2"/>
        <v>0</v>
      </c>
      <c r="Y15" s="4">
        <f t="shared" si="2"/>
        <v>0</v>
      </c>
      <c r="Z15" s="4">
        <f t="shared" si="2"/>
        <v>0</v>
      </c>
      <c r="AA15" s="4">
        <f t="shared" si="2"/>
        <v>0</v>
      </c>
      <c r="AB15" s="4">
        <f t="shared" si="2"/>
        <v>0</v>
      </c>
      <c r="AC15" s="4">
        <f t="shared" si="2"/>
        <v>0</v>
      </c>
      <c r="AD15" s="4">
        <f t="shared" si="2"/>
        <v>0</v>
      </c>
      <c r="AE15" s="4">
        <f t="shared" si="2"/>
        <v>0</v>
      </c>
      <c r="AF15" s="4">
        <f t="shared" si="2"/>
        <v>0</v>
      </c>
      <c r="AG15" s="4"/>
      <c r="AH15" s="4"/>
    </row>
    <row r="16" spans="1:36">
      <c r="A16" s="2" t="s">
        <v>58</v>
      </c>
      <c r="B16" s="4">
        <f>B11</f>
        <v>0</v>
      </c>
      <c r="C16" s="4">
        <f t="shared" ref="C16:AF16" si="3">C11</f>
        <v>0</v>
      </c>
      <c r="D16" s="4">
        <f t="shared" si="3"/>
        <v>0</v>
      </c>
      <c r="E16" s="4">
        <f t="shared" si="3"/>
        <v>0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 t="shared" si="3"/>
        <v>0</v>
      </c>
      <c r="J16" s="4">
        <f t="shared" si="3"/>
        <v>0</v>
      </c>
      <c r="K16" s="4">
        <f t="shared" si="3"/>
        <v>0</v>
      </c>
      <c r="L16" s="4">
        <f t="shared" si="3"/>
        <v>0</v>
      </c>
      <c r="M16" s="4">
        <f t="shared" si="3"/>
        <v>0</v>
      </c>
      <c r="N16" s="4">
        <f t="shared" si="3"/>
        <v>0</v>
      </c>
      <c r="O16" s="4">
        <f t="shared" si="3"/>
        <v>0</v>
      </c>
      <c r="P16" s="4">
        <f t="shared" si="3"/>
        <v>0</v>
      </c>
      <c r="Q16" s="4">
        <f t="shared" si="3"/>
        <v>0</v>
      </c>
      <c r="R16" s="4">
        <f t="shared" si="3"/>
        <v>0</v>
      </c>
      <c r="S16" s="4">
        <f t="shared" si="3"/>
        <v>0</v>
      </c>
      <c r="T16" s="4">
        <f t="shared" si="3"/>
        <v>0</v>
      </c>
      <c r="U16" s="4">
        <f t="shared" si="3"/>
        <v>0</v>
      </c>
      <c r="V16" s="4">
        <f t="shared" si="3"/>
        <v>0</v>
      </c>
      <c r="W16" s="4">
        <f t="shared" si="3"/>
        <v>0</v>
      </c>
      <c r="X16" s="4">
        <f t="shared" si="3"/>
        <v>0</v>
      </c>
      <c r="Y16" s="4">
        <f t="shared" si="3"/>
        <v>0</v>
      </c>
      <c r="Z16" s="4">
        <f t="shared" si="3"/>
        <v>0</v>
      </c>
      <c r="AA16" s="4">
        <f t="shared" si="3"/>
        <v>0</v>
      </c>
      <c r="AB16" s="4">
        <f t="shared" si="3"/>
        <v>0</v>
      </c>
      <c r="AC16" s="4">
        <f t="shared" si="3"/>
        <v>0</v>
      </c>
      <c r="AD16" s="4">
        <f t="shared" si="3"/>
        <v>0</v>
      </c>
      <c r="AE16" s="4">
        <f t="shared" si="3"/>
        <v>0</v>
      </c>
      <c r="AF16" s="4">
        <f t="shared" si="3"/>
        <v>0</v>
      </c>
      <c r="AG16" s="4"/>
      <c r="AH16" s="4"/>
    </row>
    <row r="17" spans="1:34">
      <c r="A17" s="2" t="s">
        <v>59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/>
      <c r="AH17" s="4"/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에너지원별 발전량</vt:lpstr>
      <vt:lpstr>발전사별 설비용량</vt:lpstr>
      <vt:lpstr>Subsidies Paid</vt:lpstr>
      <vt:lpstr>LCOE</vt:lpstr>
      <vt:lpstr>Cal-CAPEX</vt:lpstr>
      <vt:lpstr>Sheet1</vt:lpstr>
      <vt:lpstr>BS-BSfTFpEUP</vt:lpstr>
      <vt:lpstr>BS-BSpUEO-PreRet</vt:lpstr>
      <vt:lpstr>BS-BSpUEO-PreNonRet</vt:lpstr>
      <vt:lpstr>BS-BSpUEO-NewBlt</vt:lpstr>
      <vt:lpstr>BS-BSpUECB</vt:lpstr>
      <vt:lpstr>BSpUECB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2014-08-21T02:04:37Z</dcterms:created>
  <dcterms:modified xsi:type="dcterms:W3CDTF">2022-02-10T20:04:16Z</dcterms:modified>
</cp:coreProperties>
</file>