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autoCompressPictures="0" defaultThemeVersion="124226"/>
  <mc:AlternateContent xmlns:mc="http://schemas.openxmlformats.org/markup-compatibility/2006">
    <mc:Choice Requires="x15">
      <x15ac:absPath xmlns:x15ac="http://schemas.microsoft.com/office/spreadsheetml/2010/11/ac" url="C:\Users\iamho\Dropbox\Energy Innovation\InputData_Complete\indst\BIFUbC\"/>
    </mc:Choice>
  </mc:AlternateContent>
  <xr:revisionPtr revIDLastSave="0" documentId="13_ncr:1_{DDA50BE4-651A-43F5-92A6-079BED36DAB5}" xr6:coauthVersionLast="47" xr6:coauthVersionMax="47" xr10:uidLastSave="{00000000-0000-0000-0000-000000000000}"/>
  <bookViews>
    <workbookView xWindow="5370" yWindow="760" windowWidth="29260" windowHeight="18590" firstSheet="12" activeTab="16"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BIFUbC-electricity" sheetId="15" r:id="rId17"/>
    <sheet name="BIFUbC-coal" sheetId="16" r:id="rId18"/>
    <sheet name="BIFUbC-natural-gas" sheetId="17" r:id="rId19"/>
    <sheet name="BIFUbC-biomass" sheetId="18" r:id="rId20"/>
    <sheet name="BIFUbC-heat" sheetId="20" r:id="rId21"/>
    <sheet name="BIFUbC-crude-oil" sheetId="21" r:id="rId22"/>
    <sheet name="BIFUbC-petroleum-diesel" sheetId="19" r:id="rId23"/>
    <sheet name="BIFUbC-heavy-or-residual-oil" sheetId="22" r:id="rId24"/>
    <sheet name="BIFUbC-LPG-propane-or-butane" sheetId="23" r:id="rId25"/>
    <sheet name="BIFUbC-hydrogen" sheetId="24" r:id="rId26"/>
  </sheets>
  <externalReferences>
    <externalReference r:id="rId27"/>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6" l="1"/>
  <c r="Q70" i="74"/>
  <c r="Q78" i="74" s="1"/>
  <c r="Q62" i="74"/>
  <c r="P62" i="74"/>
  <c r="P70" i="74" s="1"/>
  <c r="P78" i="74" s="1"/>
  <c r="O62" i="74"/>
  <c r="Q61" i="74"/>
  <c r="P61" i="74"/>
  <c r="P69" i="74" s="1"/>
  <c r="P77" i="74" s="1"/>
  <c r="O61" i="74"/>
  <c r="Q60" i="74"/>
  <c r="Q68" i="74" s="1"/>
  <c r="Q76" i="74" s="1"/>
  <c r="P60" i="74"/>
  <c r="P68" i="74" s="1"/>
  <c r="P76" i="74" s="1"/>
  <c r="O60" i="74"/>
  <c r="Q59" i="74"/>
  <c r="Q67" i="74" s="1"/>
  <c r="Q75" i="74" s="1"/>
  <c r="P59" i="74"/>
  <c r="P67" i="74" s="1"/>
  <c r="P75" i="74" s="1"/>
  <c r="O59" i="74"/>
  <c r="Q58" i="74"/>
  <c r="Q66" i="74" s="1"/>
  <c r="Q74" i="74" s="1"/>
  <c r="P58" i="74"/>
  <c r="P66" i="74" s="1"/>
  <c r="P74" i="74" s="1"/>
  <c r="O58" i="74"/>
  <c r="Q57" i="74"/>
  <c r="Q65" i="74" s="1"/>
  <c r="Q73" i="74" s="1"/>
  <c r="P57" i="74"/>
  <c r="P65" i="74" s="1"/>
  <c r="P73" i="74" s="1"/>
  <c r="O57" i="74"/>
  <c r="Q56" i="74"/>
  <c r="Q64" i="74" s="1"/>
  <c r="Q72" i="74" s="1"/>
  <c r="P56" i="74"/>
  <c r="O56" i="74"/>
  <c r="P64" i="74" s="1"/>
  <c r="P72" i="74" s="1"/>
  <c r="C70" i="1"/>
  <c r="A24" i="88" s="1"/>
  <c r="C29" i="91"/>
  <c r="A22" i="87"/>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Q69" i="74" l="1"/>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40" i="74" l="1"/>
  <c r="O36" i="74"/>
  <c r="O32" i="74"/>
  <c r="O28" i="74"/>
  <c r="O24" i="74"/>
  <c r="O20" i="74"/>
  <c r="O16" i="74"/>
  <c r="O12" i="74"/>
  <c r="O8" i="74"/>
  <c r="O38" i="74"/>
  <c r="O30" i="74"/>
  <c r="O22" i="74"/>
  <c r="O10" i="74"/>
  <c r="P29" i="74"/>
  <c r="Q29" i="74" s="1"/>
  <c r="P32" i="74"/>
  <c r="Q32" i="74" s="1"/>
  <c r="P20" i="74"/>
  <c r="P12" i="74"/>
  <c r="Q12" i="74" s="1"/>
  <c r="P39" i="74"/>
  <c r="Q39" i="74" s="1"/>
  <c r="P35" i="74"/>
  <c r="P31" i="74"/>
  <c r="Q31" i="74" s="1"/>
  <c r="P27" i="74"/>
  <c r="P23" i="74"/>
  <c r="Q23" i="74" s="1"/>
  <c r="P19" i="74"/>
  <c r="Q19" i="74" s="1"/>
  <c r="P15" i="74"/>
  <c r="Q15" i="74" s="1"/>
  <c r="P11" i="74"/>
  <c r="Q11" i="74" s="1"/>
  <c r="P7" i="74"/>
  <c r="O34" i="74"/>
  <c r="O18" i="74"/>
  <c r="P37" i="74"/>
  <c r="Q37" i="74" s="1"/>
  <c r="P17" i="74"/>
  <c r="Q17" i="74" s="1"/>
  <c r="O33" i="74"/>
  <c r="O25" i="74"/>
  <c r="O17" i="74"/>
  <c r="O9" i="74"/>
  <c r="P36" i="74"/>
  <c r="Q36" i="74" s="1"/>
  <c r="P24" i="74"/>
  <c r="Q24" i="74" s="1"/>
  <c r="P8" i="74"/>
  <c r="Q8" i="74" s="1"/>
  <c r="O39" i="74"/>
  <c r="O35" i="74"/>
  <c r="O31" i="74"/>
  <c r="O27" i="74"/>
  <c r="O23" i="74"/>
  <c r="O19" i="74"/>
  <c r="O15" i="74"/>
  <c r="O11" i="74"/>
  <c r="O7" i="74"/>
  <c r="O26" i="74"/>
  <c r="O14" i="74"/>
  <c r="P33" i="74"/>
  <c r="Q33" i="74" s="1"/>
  <c r="P25" i="74"/>
  <c r="Q25" i="74" s="1"/>
  <c r="P13" i="74"/>
  <c r="O37" i="74"/>
  <c r="O21" i="74"/>
  <c r="O13" i="74"/>
  <c r="P38" i="74"/>
  <c r="Q38" i="74" s="1"/>
  <c r="P34" i="74"/>
  <c r="P30" i="74"/>
  <c r="Q30" i="74" s="1"/>
  <c r="P26" i="74"/>
  <c r="Q26" i="74" s="1"/>
  <c r="P22" i="74"/>
  <c r="Q22" i="74" s="1"/>
  <c r="P18" i="74"/>
  <c r="Q18" i="74" s="1"/>
  <c r="P14" i="74"/>
  <c r="P10" i="74"/>
  <c r="Q10" i="74" s="1"/>
  <c r="P9" i="74"/>
  <c r="Q9" i="74" s="1"/>
  <c r="P21" i="74"/>
  <c r="O29" i="74"/>
  <c r="P40" i="74"/>
  <c r="Q40" i="74" s="1"/>
  <c r="P28" i="74"/>
  <c r="P16" i="74"/>
  <c r="Q16" i="74" s="1"/>
  <c r="H24" i="9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B25" i="17" s="1"/>
  <c r="C25" i="17" s="1"/>
  <c r="D25" i="17" s="1"/>
  <c r="E25" i="17" s="1"/>
  <c r="F25" i="17" s="1"/>
  <c r="G25" i="17" s="1"/>
  <c r="H25" i="17" s="1"/>
  <c r="I25" i="17" s="1"/>
  <c r="J25" i="17" s="1"/>
  <c r="K25" i="17" s="1"/>
  <c r="L25" i="17" s="1"/>
  <c r="M25" i="17" s="1"/>
  <c r="N25" i="17" s="1"/>
  <c r="O25" i="17" s="1"/>
  <c r="P25" i="17" s="1"/>
  <c r="Q25" i="17" s="1"/>
  <c r="R25" i="17" s="1"/>
  <c r="S25" i="17" s="1"/>
  <c r="T25" i="17" s="1"/>
  <c r="U25" i="17" s="1"/>
  <c r="V25" i="17" s="1"/>
  <c r="W25" i="17" s="1"/>
  <c r="X25" i="17" s="1"/>
  <c r="Y25" i="17" s="1"/>
  <c r="Z25" i="17" s="1"/>
  <c r="AA25" i="17" s="1"/>
  <c r="AB25" i="17" s="1"/>
  <c r="AC25" i="17" s="1"/>
  <c r="AD25" i="17" s="1"/>
  <c r="AE25" i="17" s="1"/>
  <c r="AF25" i="17" s="1"/>
  <c r="E5" i="91"/>
  <c r="E9" i="91"/>
  <c r="E15" i="91"/>
  <c r="E18" i="91"/>
  <c r="E12" i="91"/>
  <c r="Q14" i="74" l="1"/>
  <c r="Q21" i="74"/>
  <c r="Q35"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V6" i="89" l="1"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AK6" i="88" l="1"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AD9" i="87" l="1"/>
  <c r="AC9" i="87"/>
  <c r="AE9" i="88"/>
  <c r="AS5" i="87"/>
  <c r="AC9" i="89"/>
  <c r="AK9" i="87"/>
  <c r="T9" i="89"/>
  <c r="R9" i="88"/>
  <c r="B3" i="22" s="1"/>
  <c r="Z9" i="88"/>
  <c r="R9" i="89"/>
  <c r="Z9" i="89"/>
  <c r="S9" i="87"/>
  <c r="AN5" i="87"/>
  <c r="AQ5" i="87"/>
  <c r="AL9" i="87"/>
  <c r="AR5" i="87"/>
  <c r="AT5" i="87"/>
  <c r="AU9" i="87" s="1"/>
  <c r="AV5" i="87"/>
  <c r="AW5" i="87" s="1"/>
  <c r="AU5" i="87"/>
  <c r="AO5" i="87"/>
  <c r="AP9" i="87" s="1"/>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B3" i="19" l="1"/>
  <c r="B10" i="21"/>
  <c r="C10" i="21" s="1"/>
  <c r="D10" i="21" s="1"/>
  <c r="E10" i="21" s="1"/>
  <c r="F10" i="21" s="1"/>
  <c r="G10" i="21" s="1"/>
  <c r="H10" i="21" s="1"/>
  <c r="I10" i="21" s="1"/>
  <c r="J10" i="21" s="1"/>
  <c r="K10" i="21" s="1"/>
  <c r="L10" i="21" s="1"/>
  <c r="M10" i="21" s="1"/>
  <c r="N10" i="21" s="1"/>
  <c r="O10" i="21" s="1"/>
  <c r="P10" i="21" s="1"/>
  <c r="Q10" i="21" s="1"/>
  <c r="R10" i="21" s="1"/>
  <c r="S10" i="21" s="1"/>
  <c r="T10" i="21" s="1"/>
  <c r="U10" i="21" s="1"/>
  <c r="V10" i="21" s="1"/>
  <c r="W10" i="21" s="1"/>
  <c r="X10" i="21" s="1"/>
  <c r="B4" i="23"/>
  <c r="C4" i="23" s="1"/>
  <c r="D4" i="23" s="1"/>
  <c r="E4" i="23" s="1"/>
  <c r="F4" i="23" s="1"/>
  <c r="G4" i="23" s="1"/>
  <c r="H4" i="23" s="1"/>
  <c r="I4" i="23" s="1"/>
  <c r="J4" i="23" s="1"/>
  <c r="K4" i="23" s="1"/>
  <c r="L4" i="23" s="1"/>
  <c r="M4" i="23" s="1"/>
  <c r="N4" i="23" s="1"/>
  <c r="O4" i="23" s="1"/>
  <c r="P4" i="23" s="1"/>
  <c r="Q4" i="23" s="1"/>
  <c r="R4" i="23" s="1"/>
  <c r="S4" i="23" s="1"/>
  <c r="T4" i="23" s="1"/>
  <c r="U4" i="23" s="1"/>
  <c r="V4" i="23" s="1"/>
  <c r="W4" i="23" s="1"/>
  <c r="AT9" i="87"/>
  <c r="AS9" i="87"/>
  <c r="AR9" i="89"/>
  <c r="AO9" i="87"/>
  <c r="AR9" i="87"/>
  <c r="AN9" i="87"/>
  <c r="AV9" i="87"/>
  <c r="AP9" i="89"/>
  <c r="C3" i="19"/>
  <c r="D3" i="19" s="1"/>
  <c r="E3" i="19" s="1"/>
  <c r="F3" i="19" s="1"/>
  <c r="G3" i="19" s="1"/>
  <c r="H3" i="19" s="1"/>
  <c r="I3" i="19" s="1"/>
  <c r="J3" i="19" s="1"/>
  <c r="K3" i="19" s="1"/>
  <c r="L3" i="19" s="1"/>
  <c r="M3" i="19" s="1"/>
  <c r="N3" i="19" s="1"/>
  <c r="O3" i="19" s="1"/>
  <c r="P3" i="19" s="1"/>
  <c r="Q3" i="19" s="1"/>
  <c r="R3" i="19" s="1"/>
  <c r="S3" i="19" s="1"/>
  <c r="T3" i="19" s="1"/>
  <c r="U3" i="19" s="1"/>
  <c r="V3" i="19" s="1"/>
  <c r="W3" i="19" s="1"/>
  <c r="C3" i="22"/>
  <c r="D3" i="22" s="1"/>
  <c r="E3" i="22" s="1"/>
  <c r="F3" i="22" s="1"/>
  <c r="G3" i="22" s="1"/>
  <c r="H3" i="22" s="1"/>
  <c r="I3" i="22" s="1"/>
  <c r="J3" i="22" s="1"/>
  <c r="K3" i="22" s="1"/>
  <c r="L3" i="22" s="1"/>
  <c r="M3" i="22" s="1"/>
  <c r="N3" i="22" s="1"/>
  <c r="O3" i="22" s="1"/>
  <c r="P3" i="22" s="1"/>
  <c r="Q3" i="22" s="1"/>
  <c r="R3" i="22" s="1"/>
  <c r="S3" i="22" s="1"/>
  <c r="T3" i="22" s="1"/>
  <c r="U3" i="22" s="1"/>
  <c r="V3" i="22" s="1"/>
  <c r="W3" i="22" s="1"/>
  <c r="AQ9" i="89"/>
  <c r="AQ9" i="87"/>
  <c r="AU9" i="89"/>
  <c r="AN9" i="89"/>
  <c r="AS9" i="89"/>
  <c r="AT9" i="89"/>
  <c r="AV9" i="89"/>
  <c r="AO9" i="89"/>
  <c r="AW5" i="89"/>
  <c r="AR9" i="88"/>
  <c r="AP9" i="88"/>
  <c r="AS9" i="88"/>
  <c r="B24" i="23"/>
  <c r="C24" i="23" s="1"/>
  <c r="D24" i="23" s="1"/>
  <c r="E24" i="23" s="1"/>
  <c r="F24" i="23" s="1"/>
  <c r="G24" i="23" s="1"/>
  <c r="H24" i="23" s="1"/>
  <c r="I24" i="23" s="1"/>
  <c r="J24" i="23" s="1"/>
  <c r="K24" i="23" s="1"/>
  <c r="L24" i="23" s="1"/>
  <c r="M24" i="23" s="1"/>
  <c r="N24" i="23" s="1"/>
  <c r="O24" i="23" s="1"/>
  <c r="P24" i="23" s="1"/>
  <c r="Q24" i="23" s="1"/>
  <c r="R24" i="23" s="1"/>
  <c r="S24" i="23" s="1"/>
  <c r="T24" i="23" s="1"/>
  <c r="U24" i="23" s="1"/>
  <c r="V24" i="23" s="1"/>
  <c r="W24" i="23" s="1"/>
  <c r="X24" i="23" s="1"/>
  <c r="B24" i="17"/>
  <c r="C24" i="17" s="1"/>
  <c r="D24" i="17" s="1"/>
  <c r="E24" i="17" s="1"/>
  <c r="F24" i="17" s="1"/>
  <c r="G24" i="17" s="1"/>
  <c r="H24" i="17" s="1"/>
  <c r="I24" i="17" s="1"/>
  <c r="J24" i="17" s="1"/>
  <c r="K24" i="17" s="1"/>
  <c r="L24" i="17" s="1"/>
  <c r="M24" i="17" s="1"/>
  <c r="N24" i="17" s="1"/>
  <c r="O24" i="17" s="1"/>
  <c r="P24" i="17" s="1"/>
  <c r="Q24" i="17" s="1"/>
  <c r="R24" i="17" s="1"/>
  <c r="S24" i="17" s="1"/>
  <c r="T24" i="17" s="1"/>
  <c r="U24" i="17" s="1"/>
  <c r="V24" i="17" s="1"/>
  <c r="W24" i="17" s="1"/>
  <c r="X24" i="17" s="1"/>
  <c r="Y24" i="17" s="1"/>
  <c r="Z24" i="17" s="1"/>
  <c r="AA24" i="17" s="1"/>
  <c r="AV9" i="88"/>
  <c r="AW5" i="88"/>
  <c r="AU9" i="88"/>
  <c r="AN9" i="88"/>
  <c r="AO9" i="88"/>
  <c r="AT9" i="88"/>
  <c r="AQ9" i="88"/>
  <c r="X4" i="23" l="1"/>
  <c r="Y4" i="23" s="1"/>
  <c r="Z4" i="23" s="1"/>
  <c r="AA4" i="23" s="1"/>
  <c r="AB4" i="23" s="1"/>
  <c r="AC4" i="23" s="1"/>
  <c r="AD4" i="23" s="1"/>
  <c r="AE4" i="23" s="1"/>
  <c r="AF4" i="23" s="1"/>
  <c r="AB24" i="17"/>
  <c r="AC24" i="17" s="1"/>
  <c r="AD24" i="17" s="1"/>
  <c r="AE24" i="17" s="1"/>
  <c r="AF24" i="17" s="1"/>
  <c r="Y24" i="23"/>
  <c r="Z24" i="23" s="1"/>
  <c r="AA24" i="23" s="1"/>
  <c r="AB24" i="23" s="1"/>
  <c r="AC24" i="23" s="1"/>
  <c r="AD24" i="23" s="1"/>
  <c r="AE24" i="23" s="1"/>
  <c r="AF24" i="23" s="1"/>
  <c r="X3" i="22"/>
  <c r="Y3" i="22" s="1"/>
  <c r="Z3" i="22" s="1"/>
  <c r="AA3" i="22" s="1"/>
  <c r="AB3" i="22" s="1"/>
  <c r="AC3" i="22" s="1"/>
  <c r="AD3" i="22" s="1"/>
  <c r="AE3" i="22" s="1"/>
  <c r="AF3" i="22" s="1"/>
  <c r="X3" i="19"/>
  <c r="Y3" i="19" s="1"/>
  <c r="Z3" i="19" s="1"/>
  <c r="AA3" i="19" s="1"/>
  <c r="AB3" i="19" s="1"/>
  <c r="AC3" i="19" s="1"/>
  <c r="AD3" i="19" s="1"/>
  <c r="AE3" i="19" s="1"/>
  <c r="AF3" i="19" s="1"/>
  <c r="Y10" i="21"/>
  <c r="Z10" i="21" s="1"/>
  <c r="AA10" i="21" s="1"/>
  <c r="AB10" i="21" s="1"/>
  <c r="AC10" i="21" s="1"/>
  <c r="AD10" i="21" s="1"/>
  <c r="AE10" i="21" s="1"/>
  <c r="AF10" i="21" s="1"/>
  <c r="N8" i="85"/>
  <c r="K8" i="85"/>
  <c r="C7" i="84"/>
  <c r="C6" i="84"/>
  <c r="C5" i="84"/>
  <c r="C39" i="82"/>
  <c r="C38" i="82"/>
  <c r="C37" i="82"/>
  <c r="J7" i="82"/>
  <c r="J6" i="82" s="1"/>
  <c r="M7" i="82"/>
  <c r="M6" i="82" s="1"/>
  <c r="L7" i="82"/>
  <c r="L6" i="82" s="1"/>
  <c r="I7" i="82"/>
  <c r="I6" i="82" s="1"/>
  <c r="H7" i="82"/>
  <c r="H6" i="82" s="1"/>
  <c r="G7" i="82"/>
  <c r="G6" i="82" s="1"/>
  <c r="F7" i="82"/>
  <c r="F6" i="82" s="1"/>
  <c r="E7" i="82"/>
  <c r="E6" i="82" s="1"/>
  <c r="D39" i="82" l="1"/>
  <c r="D38" i="82"/>
  <c r="D46" i="85"/>
  <c r="D45" i="85"/>
  <c r="L8" i="85"/>
  <c r="M8" i="85"/>
  <c r="J8" i="85"/>
  <c r="I8" i="85"/>
  <c r="H8" i="85"/>
  <c r="G8" i="85"/>
  <c r="F8" i="85"/>
  <c r="E8" i="85"/>
  <c r="D44" i="85"/>
  <c r="D6" i="84"/>
  <c r="D5" i="84"/>
  <c r="D7" i="84"/>
  <c r="D37" i="82"/>
  <c r="G8" i="82"/>
  <c r="I8" i="82"/>
  <c r="F8" i="82"/>
  <c r="E8" i="82"/>
  <c r="M8" i="82"/>
  <c r="L8" i="82"/>
  <c r="H8" i="82"/>
  <c r="J8" i="82"/>
  <c r="L16" i="81" l="1"/>
  <c r="F16" i="81"/>
  <c r="J16" i="81"/>
  <c r="I16" i="81"/>
  <c r="H16" i="81"/>
  <c r="E16" i="81"/>
  <c r="G16" i="81"/>
  <c r="M16" i="81"/>
  <c r="AW34" i="74"/>
  <c r="D46" i="81" l="1"/>
  <c r="D48" i="81" l="1"/>
  <c r="D47" i="81"/>
  <c r="R15" i="16"/>
  <c r="S15" i="16"/>
  <c r="T15" i="16"/>
  <c r="U15" i="16"/>
  <c r="R15" i="17"/>
  <c r="S15" i="17"/>
  <c r="T15" i="17"/>
  <c r="U15" i="17"/>
  <c r="R15" i="15"/>
  <c r="S15" i="15"/>
  <c r="T15" i="15"/>
  <c r="U15" i="15"/>
  <c r="R15" i="18"/>
  <c r="S15" i="18"/>
  <c r="T15" i="18"/>
  <c r="U15" i="18"/>
  <c r="R26" i="16"/>
  <c r="S26" i="16"/>
  <c r="T26" i="16"/>
  <c r="U26" i="16"/>
  <c r="R26" i="19"/>
  <c r="S26" i="19"/>
  <c r="T26" i="19"/>
  <c r="U26" i="19"/>
  <c r="R26" i="17"/>
  <c r="S26" i="17"/>
  <c r="T26" i="17"/>
  <c r="U26" i="17"/>
  <c r="R26" i="15"/>
  <c r="S26" i="15"/>
  <c r="T26" i="15"/>
  <c r="U26" i="15"/>
  <c r="R26" i="18"/>
  <c r="S26" i="18"/>
  <c r="T26" i="18"/>
  <c r="U26" i="18"/>
  <c r="M15" i="16"/>
  <c r="N15" i="16"/>
  <c r="O15" i="16"/>
  <c r="P15" i="16"/>
  <c r="M15" i="17"/>
  <c r="N15" i="17"/>
  <c r="O15" i="17"/>
  <c r="P15" i="17"/>
  <c r="M15" i="15"/>
  <c r="N15" i="15"/>
  <c r="O15" i="15"/>
  <c r="P15" i="15"/>
  <c r="M15" i="18"/>
  <c r="N15" i="18"/>
  <c r="O15" i="18"/>
  <c r="P15" i="18"/>
  <c r="M26" i="16"/>
  <c r="N26" i="16"/>
  <c r="O26" i="16"/>
  <c r="P26" i="16"/>
  <c r="M26" i="19"/>
  <c r="N26" i="19"/>
  <c r="O26" i="19"/>
  <c r="P26" i="19"/>
  <c r="M26" i="17"/>
  <c r="N26" i="17"/>
  <c r="O26" i="17"/>
  <c r="P26" i="17"/>
  <c r="M26" i="15"/>
  <c r="N26" i="15"/>
  <c r="O26" i="15"/>
  <c r="P26" i="15"/>
  <c r="M26" i="18"/>
  <c r="N26" i="18"/>
  <c r="O26" i="18"/>
  <c r="P26" i="18"/>
  <c r="H15" i="16"/>
  <c r="I15" i="16"/>
  <c r="J15" i="16"/>
  <c r="K15" i="16"/>
  <c r="H15" i="17"/>
  <c r="I15" i="17"/>
  <c r="J15" i="17"/>
  <c r="K15" i="17"/>
  <c r="H15" i="15"/>
  <c r="I15" i="15"/>
  <c r="J15" i="15"/>
  <c r="K15" i="15"/>
  <c r="H15" i="18"/>
  <c r="I15" i="18"/>
  <c r="J15" i="18"/>
  <c r="K15" i="18"/>
  <c r="H26" i="16"/>
  <c r="I26" i="16"/>
  <c r="J26" i="16"/>
  <c r="K26" i="16"/>
  <c r="H26" i="19"/>
  <c r="I26" i="19"/>
  <c r="J26" i="19"/>
  <c r="K26" i="19"/>
  <c r="H26" i="17"/>
  <c r="I26" i="17"/>
  <c r="J26" i="17"/>
  <c r="K26" i="17"/>
  <c r="H26" i="15"/>
  <c r="I26" i="15"/>
  <c r="J26" i="15"/>
  <c r="K26" i="15"/>
  <c r="H26" i="18"/>
  <c r="I26" i="18"/>
  <c r="J26" i="18"/>
  <c r="K26" i="18"/>
  <c r="B15" i="16"/>
  <c r="C15" i="16"/>
  <c r="D15" i="16"/>
  <c r="E15" i="16"/>
  <c r="F15" i="16"/>
  <c r="B15" i="17"/>
  <c r="C15" i="17"/>
  <c r="D15" i="17"/>
  <c r="E15" i="17"/>
  <c r="F15" i="17"/>
  <c r="B15" i="15"/>
  <c r="C15" i="15"/>
  <c r="D15" i="15"/>
  <c r="E15" i="15"/>
  <c r="F15" i="15"/>
  <c r="B15" i="18"/>
  <c r="C15" i="18"/>
  <c r="D15" i="18"/>
  <c r="E15" i="18"/>
  <c r="F15" i="18"/>
  <c r="B26" i="16"/>
  <c r="C26" i="16"/>
  <c r="D26" i="16"/>
  <c r="E26" i="16"/>
  <c r="F26" i="16"/>
  <c r="B26" i="19"/>
  <c r="C26" i="19"/>
  <c r="D26" i="19"/>
  <c r="E26" i="19"/>
  <c r="F26" i="19"/>
  <c r="B26" i="17"/>
  <c r="C26" i="17"/>
  <c r="D26" i="17"/>
  <c r="E26" i="17"/>
  <c r="F26" i="17"/>
  <c r="B26" i="15"/>
  <c r="C26" i="15"/>
  <c r="D26" i="15"/>
  <c r="E26" i="15"/>
  <c r="F26" i="15"/>
  <c r="B26" i="18"/>
  <c r="C26" i="18"/>
  <c r="D26" i="18"/>
  <c r="E26" i="18"/>
  <c r="F26" i="18"/>
  <c r="K17" i="19" l="1"/>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B19" i="17"/>
  <c r="B18" i="17"/>
  <c r="B20" i="17"/>
  <c r="B21" i="17"/>
  <c r="B22" i="17"/>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F12" i="17"/>
  <c r="F11" i="17"/>
  <c r="E11" i="17"/>
  <c r="E12" i="17"/>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B11" i="17"/>
  <c r="B12" i="17"/>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D12" i="17"/>
  <c r="D11" i="17"/>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C12" i="17"/>
  <c r="C11" i="17"/>
  <c r="E11" i="23"/>
  <c r="E12" i="23"/>
  <c r="E11" i="22"/>
  <c r="E12" i="19"/>
  <c r="E11" i="19"/>
  <c r="E12" i="22"/>
  <c r="D19" i="16"/>
  <c r="D18" i="16"/>
  <c r="D21" i="16"/>
  <c r="D22" i="16"/>
  <c r="D20" i="16"/>
  <c r="F15" i="19"/>
  <c r="F15" i="23"/>
  <c r="F15" i="22"/>
  <c r="F17" i="17"/>
  <c r="F16" i="17"/>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E16" i="17"/>
  <c r="E17" i="17"/>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F21" i="17"/>
  <c r="F20" i="17"/>
  <c r="F19" i="17"/>
  <c r="F18" i="17"/>
  <c r="F22" i="17"/>
  <c r="C22" i="16"/>
  <c r="C21" i="16"/>
  <c r="C20" i="16"/>
  <c r="C19" i="16"/>
  <c r="C18" i="16"/>
  <c r="D15" i="19"/>
  <c r="D15" i="22"/>
  <c r="D15" i="23"/>
  <c r="D16" i="17"/>
  <c r="D17" i="17"/>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E19" i="17"/>
  <c r="E18" i="17"/>
  <c r="E22" i="17"/>
  <c r="E21" i="17"/>
  <c r="E20" i="17"/>
  <c r="B21" i="16"/>
  <c r="B19" i="16"/>
  <c r="B22" i="16"/>
  <c r="B20" i="16"/>
  <c r="B18" i="16"/>
  <c r="C15" i="22"/>
  <c r="C15" i="23"/>
  <c r="C15" i="19"/>
  <c r="C16" i="17"/>
  <c r="C17" i="17"/>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D22" i="17"/>
  <c r="D21" i="17"/>
  <c r="D20" i="17"/>
  <c r="D19" i="17"/>
  <c r="D18" i="17"/>
  <c r="B15" i="19"/>
  <c r="B15" i="22"/>
  <c r="B15" i="23"/>
  <c r="F16" i="18"/>
  <c r="F17" i="18"/>
  <c r="B16" i="17"/>
  <c r="B17" i="17"/>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C22" i="17"/>
  <c r="C21" i="17"/>
  <c r="C20" i="17"/>
  <c r="C19" i="17"/>
  <c r="C18" i="17"/>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B14" i="17"/>
  <c r="B13" i="17"/>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F13" i="17"/>
  <c r="F14" i="17"/>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D13" i="17"/>
  <c r="D14" i="17"/>
  <c r="C14" i="16"/>
  <c r="C13" i="16"/>
  <c r="S14" i="15"/>
  <c r="S13" i="15"/>
  <c r="R14" i="16"/>
  <c r="R13" i="16"/>
  <c r="E14" i="18"/>
  <c r="E13" i="18"/>
  <c r="C13" i="17"/>
  <c r="C14" i="17"/>
  <c r="O14" i="16"/>
  <c r="O13" i="16"/>
  <c r="R14" i="15"/>
  <c r="R13" i="15"/>
  <c r="D13" i="18"/>
  <c r="D14" i="18"/>
  <c r="J13" i="17"/>
  <c r="J14" i="17"/>
  <c r="O14" i="15"/>
  <c r="O13" i="15"/>
  <c r="N14" i="16"/>
  <c r="N13" i="16"/>
  <c r="E14" i="15"/>
  <c r="E13" i="15"/>
  <c r="J13" i="18"/>
  <c r="J14" i="18"/>
  <c r="E13" i="17"/>
  <c r="E14" i="17"/>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G15" i="16"/>
  <c r="L15" i="16"/>
  <c r="V15" i="16"/>
  <c r="G15" i="17"/>
  <c r="L15" i="17"/>
  <c r="V15" i="17"/>
  <c r="G15" i="15"/>
  <c r="L15" i="15"/>
  <c r="V15" i="15"/>
  <c r="G15" i="18"/>
  <c r="L15" i="18"/>
  <c r="V15" i="18"/>
  <c r="G26" i="16"/>
  <c r="L26" i="16"/>
  <c r="Q26" i="16"/>
  <c r="V26" i="16"/>
  <c r="G26" i="17"/>
  <c r="L26" i="17"/>
  <c r="V26" i="17"/>
  <c r="G26" i="15"/>
  <c r="L26" i="15"/>
  <c r="Q26" i="15"/>
  <c r="V26" i="15"/>
  <c r="G26" i="18"/>
  <c r="L26" i="18"/>
  <c r="V26" i="18"/>
  <c r="AE15" i="17" l="1"/>
  <c r="X16" i="15"/>
  <c r="AA17" i="23"/>
  <c r="Y12" i="15"/>
  <c r="AE15" i="15"/>
  <c r="AE23" i="23"/>
  <c r="Y15" i="19"/>
  <c r="X15" i="19"/>
  <c r="AA18" i="15"/>
  <c r="Q19" i="22"/>
  <c r="Q21" i="23"/>
  <c r="Q20" i="19"/>
  <c r="Q20" i="18"/>
  <c r="Q18" i="22"/>
  <c r="Q22" i="22"/>
  <c r="Q20" i="23"/>
  <c r="Q19" i="19"/>
  <c r="Q19" i="18"/>
  <c r="Q21" i="22"/>
  <c r="Q19" i="23"/>
  <c r="Q18" i="19"/>
  <c r="Q22" i="19"/>
  <c r="Q18" i="18"/>
  <c r="Q22" i="18"/>
  <c r="Q20" i="22"/>
  <c r="Q21" i="18"/>
  <c r="Q22" i="23"/>
  <c r="Q18" i="23"/>
  <c r="Q21" i="19"/>
  <c r="X15" i="18"/>
  <c r="Q15" i="18"/>
  <c r="AC15" i="16"/>
  <c r="Q15" i="16"/>
  <c r="Q12" i="17"/>
  <c r="Q11" i="17"/>
  <c r="AF26" i="17"/>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Q16" i="18"/>
  <c r="Q17" i="18"/>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Y15" i="17"/>
  <c r="Q17" i="16"/>
  <c r="Q16" i="16"/>
  <c r="Q11" i="16"/>
  <c r="Q12" i="16"/>
  <c r="V19" i="15"/>
  <c r="V18" i="15"/>
  <c r="V22" i="15"/>
  <c r="V21" i="15"/>
  <c r="V20" i="15"/>
  <c r="V15" i="19"/>
  <c r="V15" i="22"/>
  <c r="V15" i="23"/>
  <c r="V12" i="15"/>
  <c r="V11" i="15"/>
  <c r="AC15" i="15"/>
  <c r="Q15" i="15"/>
  <c r="Q15" i="23"/>
  <c r="Q15" i="22"/>
  <c r="Q15" i="19"/>
  <c r="Q16" i="15"/>
  <c r="Q17" i="15"/>
  <c r="Q17" i="23"/>
  <c r="Q16" i="22"/>
  <c r="Q16" i="23"/>
  <c r="Q17" i="19"/>
  <c r="Q17" i="22"/>
  <c r="Q16" i="19"/>
  <c r="Q12" i="15"/>
  <c r="Q11" i="15"/>
  <c r="Q12" i="22"/>
  <c r="Q11" i="19"/>
  <c r="Q12" i="23"/>
  <c r="Q11" i="22"/>
  <c r="Q11" i="23"/>
  <c r="Q12" i="19"/>
  <c r="Q18" i="17"/>
  <c r="Q22" i="17"/>
  <c r="Q21" i="17"/>
  <c r="Q20" i="17"/>
  <c r="Q19" i="17"/>
  <c r="AB15" i="17"/>
  <c r="Q15" i="17"/>
  <c r="Q17" i="17"/>
  <c r="Q16" i="17"/>
  <c r="V17" i="15"/>
  <c r="V16" i="15"/>
  <c r="L18" i="15"/>
  <c r="L22" i="15"/>
  <c r="L21" i="15"/>
  <c r="L20" i="15"/>
  <c r="L19" i="15"/>
  <c r="L15" i="19"/>
  <c r="L15" i="22"/>
  <c r="L15" i="23"/>
  <c r="L17" i="15"/>
  <c r="L16" i="15"/>
  <c r="L17" i="22"/>
  <c r="L16" i="19"/>
  <c r="L17" i="23"/>
  <c r="L16" i="22"/>
  <c r="L16" i="23"/>
  <c r="L17" i="19"/>
  <c r="L11" i="15"/>
  <c r="L12" i="15"/>
  <c r="L12" i="19"/>
  <c r="L12" i="22"/>
  <c r="L11" i="19"/>
  <c r="L12" i="23"/>
  <c r="L11" i="22"/>
  <c r="L11" i="23"/>
  <c r="Q19" i="16"/>
  <c r="Q18" i="16"/>
  <c r="Q22" i="16"/>
  <c r="Q21" i="16"/>
  <c r="Q20" i="16"/>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V11" i="22"/>
  <c r="V11" i="23"/>
  <c r="V12" i="19"/>
  <c r="V12" i="22"/>
  <c r="V11" i="19"/>
  <c r="V12" i="23"/>
  <c r="Q21" i="15"/>
  <c r="Q20" i="15"/>
  <c r="Q19" i="15"/>
  <c r="Q18" i="15"/>
  <c r="Q22" i="15"/>
  <c r="AC26" i="18"/>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C26" i="15"/>
  <c r="V26" i="23"/>
  <c r="V14" i="22"/>
  <c r="V8" i="22"/>
  <c r="V14" i="23"/>
  <c r="V8" i="23"/>
  <c r="V5" i="22"/>
  <c r="V13" i="22"/>
  <c r="V7" i="22"/>
  <c r="V13" i="23"/>
  <c r="V7" i="23"/>
  <c r="V23" i="22"/>
  <c r="V6" i="22"/>
  <c r="V26" i="19"/>
  <c r="V9" i="22"/>
  <c r="V23" i="23"/>
  <c r="V6" i="23"/>
  <c r="V26" i="22"/>
  <c r="V5" i="23"/>
  <c r="V9" i="23"/>
  <c r="AB2" i="19"/>
  <c r="Q23" i="23"/>
  <c r="Q6" i="23"/>
  <c r="Q26" i="19"/>
  <c r="Q5" i="22"/>
  <c r="Q9" i="22"/>
  <c r="Q7" i="23"/>
  <c r="Q26" i="22"/>
  <c r="Q5" i="23"/>
  <c r="Q9" i="23"/>
  <c r="Q13" i="23"/>
  <c r="Q26" i="23"/>
  <c r="Q14" i="22"/>
  <c r="Q8" i="22"/>
  <c r="Q14" i="23"/>
  <c r="Q8" i="23"/>
  <c r="Q13" i="22"/>
  <c r="Q7" i="22"/>
  <c r="Q23" i="22"/>
  <c r="Q6" i="22"/>
  <c r="Y26" i="18"/>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X7" i="19"/>
  <c r="W26" i="17"/>
  <c r="Q26" i="17"/>
  <c r="Z15" i="16"/>
  <c r="V14" i="15"/>
  <c r="V13" i="15"/>
  <c r="Q14" i="16"/>
  <c r="Q13" i="16"/>
  <c r="AD15" i="16"/>
  <c r="AB26" i="16"/>
  <c r="AD15" i="17"/>
  <c r="AA15" i="18"/>
  <c r="W26" i="16"/>
  <c r="W15" i="17"/>
  <c r="Y15" i="16"/>
  <c r="AB15" i="15"/>
  <c r="AB15" i="16"/>
  <c r="Z15" i="17"/>
  <c r="Y26" i="17"/>
  <c r="AC15" i="17"/>
  <c r="Z15" i="18"/>
  <c r="W5" i="19"/>
  <c r="V13" i="16"/>
  <c r="V14" i="16"/>
  <c r="L14" i="16"/>
  <c r="L13" i="16"/>
  <c r="L13" i="15"/>
  <c r="L14" i="15"/>
  <c r="G13" i="16"/>
  <c r="G14" i="16"/>
  <c r="Y15" i="15"/>
  <c r="X15" i="16"/>
  <c r="X15" i="17"/>
  <c r="AF15" i="15"/>
  <c r="AC26" i="16"/>
  <c r="Y15" i="18"/>
  <c r="AW28" i="74"/>
  <c r="G14" i="18"/>
  <c r="G13" i="18"/>
  <c r="G13" i="15"/>
  <c r="G14" i="15"/>
  <c r="AE15" i="18"/>
  <c r="AA15" i="15"/>
  <c r="AD15" i="15"/>
  <c r="Z26" i="17"/>
  <c r="AW21" i="74"/>
  <c r="B15" i="20" s="1"/>
  <c r="C15" i="20" s="1"/>
  <c r="D15" i="20" s="1"/>
  <c r="E15" i="20" s="1"/>
  <c r="F15" i="20" s="1"/>
  <c r="G15" i="20" s="1"/>
  <c r="H15" i="20" s="1"/>
  <c r="I15" i="20" s="1"/>
  <c r="J15" i="20" s="1"/>
  <c r="K15" i="20" s="1"/>
  <c r="L15" i="20" s="1"/>
  <c r="M15" i="20" s="1"/>
  <c r="N15" i="20" s="1"/>
  <c r="O15" i="20" s="1"/>
  <c r="P15" i="20" s="1"/>
  <c r="Q15" i="20" s="1"/>
  <c r="R15" i="20" s="1"/>
  <c r="S15" i="20" s="1"/>
  <c r="T15" i="20" s="1"/>
  <c r="U15" i="20" s="1"/>
  <c r="V15" i="20" s="1"/>
  <c r="W15" i="20" s="1"/>
  <c r="X15" i="20" s="1"/>
  <c r="Y15" i="20" s="1"/>
  <c r="Z15" i="20" s="1"/>
  <c r="AA15" i="20" s="1"/>
  <c r="AB15" i="20" s="1"/>
  <c r="AC15" i="20" s="1"/>
  <c r="AD15" i="20" s="1"/>
  <c r="AE15" i="20" s="1"/>
  <c r="AF15" i="20" s="1"/>
  <c r="Q14" i="15"/>
  <c r="Q13" i="15"/>
  <c r="Y9" i="19"/>
  <c r="Z15" i="15"/>
  <c r="Y26" i="16"/>
  <c r="AA26" i="15"/>
  <c r="X26" i="18"/>
  <c r="W15" i="16"/>
  <c r="X15" i="15"/>
  <c r="V13" i="17"/>
  <c r="V14" i="17"/>
  <c r="W26" i="15"/>
  <c r="AF15" i="18"/>
  <c r="AF26" i="16"/>
  <c r="AD15" i="18"/>
  <c r="Q14" i="17"/>
  <c r="Q13" i="17"/>
  <c r="AE26" i="18"/>
  <c r="AW35" i="74"/>
  <c r="AE26" i="15"/>
  <c r="AA5" i="18"/>
  <c r="AE26" i="16"/>
  <c r="AD26" i="17"/>
  <c r="W26" i="18"/>
  <c r="L14" i="17"/>
  <c r="L13" i="17"/>
  <c r="Z8" i="19"/>
  <c r="AC7" i="19"/>
  <c r="AD8" i="19"/>
  <c r="Z26" i="16"/>
  <c r="AD26" i="16"/>
  <c r="AC26" i="17"/>
  <c r="AB26" i="18"/>
  <c r="L14" i="18"/>
  <c r="L13" i="18"/>
  <c r="G14" i="17"/>
  <c r="G13" i="17"/>
  <c r="X26" i="15"/>
  <c r="AB26" i="15"/>
  <c r="AA15" i="16"/>
  <c r="X26" i="16"/>
  <c r="AA2" i="23"/>
  <c r="X26" i="17"/>
  <c r="AB26" i="17"/>
  <c r="Z26" i="18"/>
  <c r="AF15" i="17"/>
  <c r="W15" i="15"/>
  <c r="Z26" i="15"/>
  <c r="AF2" i="23"/>
  <c r="AF26" i="15"/>
  <c r="AE15" i="16"/>
  <c r="AB15" i="18"/>
  <c r="AC15" i="18"/>
  <c r="AE26" i="17"/>
  <c r="V14" i="19"/>
  <c r="V13" i="19"/>
  <c r="AD26" i="15"/>
  <c r="AA15" i="17"/>
  <c r="Q14" i="19"/>
  <c r="Q13" i="19"/>
  <c r="Y26" i="15"/>
  <c r="AW14" i="74"/>
  <c r="AA26" i="17"/>
  <c r="W15" i="18"/>
  <c r="AF15" i="16"/>
  <c r="G13" i="19"/>
  <c r="G14" i="19"/>
  <c r="V14" i="18"/>
  <c r="V13" i="18"/>
  <c r="Q14" i="18"/>
  <c r="Q13" i="18"/>
  <c r="L13" i="19"/>
  <c r="L14" i="19"/>
  <c r="AA26" i="16"/>
  <c r="AW7" i="74"/>
  <c r="I8" i="18"/>
  <c r="Q8" i="18"/>
  <c r="J8" i="18"/>
  <c r="R8" i="18"/>
  <c r="C8" i="18"/>
  <c r="K8" i="18"/>
  <c r="S8" i="18"/>
  <c r="D8" i="18"/>
  <c r="L8" i="18"/>
  <c r="T8" i="18"/>
  <c r="O8" i="18"/>
  <c r="B8" i="18"/>
  <c r="P8" i="18"/>
  <c r="N8" i="18"/>
  <c r="E8" i="18"/>
  <c r="U8" i="18"/>
  <c r="F8" i="18"/>
  <c r="V8" i="18"/>
  <c r="G8" i="18"/>
  <c r="H8" i="18"/>
  <c r="M8" i="18"/>
  <c r="F8" i="17"/>
  <c r="N8" i="17"/>
  <c r="V8" i="17"/>
  <c r="G8" i="17"/>
  <c r="O8" i="17"/>
  <c r="H8" i="17"/>
  <c r="P8" i="17"/>
  <c r="B8" i="17"/>
  <c r="I8" i="17"/>
  <c r="Q8" i="17"/>
  <c r="D8" i="17"/>
  <c r="T8" i="17"/>
  <c r="E8" i="17"/>
  <c r="U8" i="17"/>
  <c r="M8" i="17"/>
  <c r="C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E9" i="17"/>
  <c r="M9" i="17"/>
  <c r="U9" i="17"/>
  <c r="F9" i="17"/>
  <c r="N9" i="17"/>
  <c r="V9" i="17"/>
  <c r="G9" i="17"/>
  <c r="O9" i="17"/>
  <c r="H9" i="17"/>
  <c r="P9" i="17"/>
  <c r="L9" i="17"/>
  <c r="Q9" i="17"/>
  <c r="B9" i="17"/>
  <c r="R9" i="17"/>
  <c r="C9" i="17"/>
  <c r="S9" i="17"/>
  <c r="I9" i="17"/>
  <c r="D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C23" i="17"/>
  <c r="K23" i="17"/>
  <c r="S23" i="17"/>
  <c r="E23" i="17"/>
  <c r="Q23" i="17"/>
  <c r="D23" i="17"/>
  <c r="F23" i="17"/>
  <c r="T23" i="17"/>
  <c r="G23" i="17"/>
  <c r="U23" i="17"/>
  <c r="B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J2" i="16"/>
  <c r="R2" i="16"/>
  <c r="C2" i="16"/>
  <c r="S2" i="16"/>
  <c r="L2" i="16"/>
  <c r="T2" i="16"/>
  <c r="M2" i="16"/>
  <c r="U2" i="16"/>
  <c r="F2" i="16"/>
  <c r="V2" i="16"/>
  <c r="F2" i="17"/>
  <c r="N2" i="17"/>
  <c r="V2" i="17"/>
  <c r="O2" i="17"/>
  <c r="J2" i="17"/>
  <c r="K2" i="17"/>
  <c r="D2" i="17"/>
  <c r="M2" i="17"/>
  <c r="U2" i="17"/>
  <c r="G2" i="17"/>
  <c r="T2" i="17"/>
  <c r="H2" i="17"/>
  <c r="P2" i="17"/>
  <c r="I2" i="17"/>
  <c r="Q2" i="17"/>
  <c r="B2" i="17"/>
  <c r="R2" i="17"/>
  <c r="C2" i="17"/>
  <c r="S2" i="17"/>
  <c r="L2" i="17"/>
  <c r="E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C5" i="17"/>
  <c r="K5" i="17"/>
  <c r="S5" i="17"/>
  <c r="N5" i="17"/>
  <c r="O5" i="17"/>
  <c r="G5" i="17"/>
  <c r="D5" i="17"/>
  <c r="T5" i="17"/>
  <c r="E5" i="17"/>
  <c r="U5" i="17"/>
  <c r="F5" i="17"/>
  <c r="V5" i="17"/>
  <c r="B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C6" i="17"/>
  <c r="K6" i="17"/>
  <c r="S6" i="17"/>
  <c r="D6" i="17"/>
  <c r="L6" i="17"/>
  <c r="T6" i="17"/>
  <c r="E6" i="17"/>
  <c r="M6" i="17"/>
  <c r="U6" i="17"/>
  <c r="P6" i="17"/>
  <c r="Q6" i="17"/>
  <c r="F6" i="17"/>
  <c r="V6" i="17"/>
  <c r="G6" i="17"/>
  <c r="B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D7" i="17"/>
  <c r="L7" i="17"/>
  <c r="T7" i="17"/>
  <c r="E7" i="17"/>
  <c r="M7" i="17"/>
  <c r="U7" i="17"/>
  <c r="F7" i="17"/>
  <c r="N7" i="17"/>
  <c r="V7" i="17"/>
  <c r="G7" i="17"/>
  <c r="O7" i="17"/>
  <c r="B7" i="17"/>
  <c r="R7" i="17"/>
  <c r="K7" i="17"/>
  <c r="C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X6" i="19" l="1"/>
  <c r="X2" i="22"/>
  <c r="X17" i="15"/>
  <c r="AA16" i="22"/>
  <c r="X15" i="22"/>
  <c r="X15" i="23"/>
  <c r="AA16" i="19"/>
  <c r="Y11" i="15"/>
  <c r="Z9" i="16"/>
  <c r="AE9" i="23"/>
  <c r="AA17" i="22"/>
  <c r="AE2" i="23"/>
  <c r="W23" i="17"/>
  <c r="B26" i="20"/>
  <c r="C26" i="20" s="1"/>
  <c r="D26" i="20" s="1"/>
  <c r="E26" i="20" s="1"/>
  <c r="F26" i="20" s="1"/>
  <c r="G26" i="20" s="1"/>
  <c r="H26" i="20" s="1"/>
  <c r="I26" i="20" s="1"/>
  <c r="J26" i="20" s="1"/>
  <c r="K26" i="20" s="1"/>
  <c r="L26" i="20" s="1"/>
  <c r="M26" i="20" s="1"/>
  <c r="N26" i="20" s="1"/>
  <c r="O26" i="20" s="1"/>
  <c r="P26" i="20" s="1"/>
  <c r="Q26" i="20" s="1"/>
  <c r="R26" i="20" s="1"/>
  <c r="S26" i="20" s="1"/>
  <c r="T26" i="20" s="1"/>
  <c r="U26" i="20" s="1"/>
  <c r="V26" i="20" s="1"/>
  <c r="W26" i="20" s="1"/>
  <c r="X26" i="20" s="1"/>
  <c r="Y26" i="20" s="1"/>
  <c r="Z26" i="20" s="1"/>
  <c r="AA26" i="20" s="1"/>
  <c r="AB26" i="20" s="1"/>
  <c r="AC26" i="20" s="1"/>
  <c r="AD26" i="20" s="1"/>
  <c r="AE26" i="20" s="1"/>
  <c r="AF26" i="20" s="1"/>
  <c r="B14" i="20"/>
  <c r="C14" i="20" s="1"/>
  <c r="D14" i="20" s="1"/>
  <c r="E14" i="20" s="1"/>
  <c r="F14" i="20" s="1"/>
  <c r="G14" i="20" s="1"/>
  <c r="H14" i="20" s="1"/>
  <c r="I14" i="20" s="1"/>
  <c r="J14" i="20" s="1"/>
  <c r="K14" i="20" s="1"/>
  <c r="L14" i="20" s="1"/>
  <c r="M14" i="20" s="1"/>
  <c r="N14" i="20" s="1"/>
  <c r="O14" i="20" s="1"/>
  <c r="P14" i="20" s="1"/>
  <c r="Q14" i="20" s="1"/>
  <c r="R14" i="20" s="1"/>
  <c r="S14" i="20" s="1"/>
  <c r="T14" i="20" s="1"/>
  <c r="U14" i="20" s="1"/>
  <c r="V14" i="20" s="1"/>
  <c r="W14" i="20" s="1"/>
  <c r="X14" i="20" s="1"/>
  <c r="Y14" i="20" s="1"/>
  <c r="Z14" i="20" s="1"/>
  <c r="AA14" i="20" s="1"/>
  <c r="AB14" i="20" s="1"/>
  <c r="AC14" i="20" s="1"/>
  <c r="AD14" i="20" s="1"/>
  <c r="AE14" i="20" s="1"/>
  <c r="AF14" i="20" s="1"/>
  <c r="B13" i="20"/>
  <c r="C13" i="20" s="1"/>
  <c r="D13" i="20" s="1"/>
  <c r="E13" i="20" s="1"/>
  <c r="F13" i="20" s="1"/>
  <c r="G13" i="20" s="1"/>
  <c r="H13" i="20" s="1"/>
  <c r="I13" i="20" s="1"/>
  <c r="J13" i="20" s="1"/>
  <c r="K13" i="20" s="1"/>
  <c r="L13" i="20" s="1"/>
  <c r="M13" i="20" s="1"/>
  <c r="N13" i="20" s="1"/>
  <c r="O13" i="20" s="1"/>
  <c r="P13" i="20" s="1"/>
  <c r="Q13" i="20" s="1"/>
  <c r="R13" i="20" s="1"/>
  <c r="S13" i="20" s="1"/>
  <c r="T13" i="20" s="1"/>
  <c r="U13" i="20" s="1"/>
  <c r="V13" i="20" s="1"/>
  <c r="W13" i="20" s="1"/>
  <c r="X13" i="20" s="1"/>
  <c r="Y13" i="20" s="1"/>
  <c r="Z13" i="20" s="1"/>
  <c r="AA13" i="20" s="1"/>
  <c r="AB13" i="20" s="1"/>
  <c r="AC13" i="20" s="1"/>
  <c r="AD13" i="20" s="1"/>
  <c r="AE13" i="20" s="1"/>
  <c r="AF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D12" i="20" s="1"/>
  <c r="E12" i="20" s="1"/>
  <c r="F12" i="20" s="1"/>
  <c r="G12" i="20" s="1"/>
  <c r="H12" i="20" s="1"/>
  <c r="I12" i="20" s="1"/>
  <c r="J12" i="20" s="1"/>
  <c r="K12" i="20" s="1"/>
  <c r="L12" i="20" s="1"/>
  <c r="M12" i="20" s="1"/>
  <c r="N12" i="20" s="1"/>
  <c r="O12" i="20" s="1"/>
  <c r="P12" i="20" s="1"/>
  <c r="Q12" i="20" s="1"/>
  <c r="R12" i="20" s="1"/>
  <c r="S12" i="20" s="1"/>
  <c r="T12" i="20" s="1"/>
  <c r="U12" i="20" s="1"/>
  <c r="V12" i="20" s="1"/>
  <c r="W12" i="20" s="1"/>
  <c r="X12" i="20" s="1"/>
  <c r="Y12" i="20" s="1"/>
  <c r="Z12" i="20" s="1"/>
  <c r="AA12" i="20" s="1"/>
  <c r="AB12" i="20" s="1"/>
  <c r="AC12" i="20" s="1"/>
  <c r="AD12" i="20" s="1"/>
  <c r="AE12" i="20" s="1"/>
  <c r="AF12" i="20" s="1"/>
  <c r="B11" i="20"/>
  <c r="C11" i="20" s="1"/>
  <c r="D11" i="20" s="1"/>
  <c r="E11" i="20" s="1"/>
  <c r="F11" i="20" s="1"/>
  <c r="G11" i="20" s="1"/>
  <c r="H11" i="20" s="1"/>
  <c r="I11" i="20" s="1"/>
  <c r="J11" i="20" s="1"/>
  <c r="K11" i="20" s="1"/>
  <c r="L11" i="20" s="1"/>
  <c r="M11" i="20" s="1"/>
  <c r="N11" i="20" s="1"/>
  <c r="O11" i="20" s="1"/>
  <c r="P11" i="20" s="1"/>
  <c r="Q11" i="20" s="1"/>
  <c r="R11" i="20" s="1"/>
  <c r="S11" i="20" s="1"/>
  <c r="T11" i="20" s="1"/>
  <c r="U11" i="20" s="1"/>
  <c r="V11" i="20" s="1"/>
  <c r="W11" i="20" s="1"/>
  <c r="X11" i="20" s="1"/>
  <c r="Y11" i="20" s="1"/>
  <c r="Z11" i="20" s="1"/>
  <c r="AA11" i="20" s="1"/>
  <c r="AB11" i="20" s="1"/>
  <c r="AC11" i="20" s="1"/>
  <c r="AD11" i="20" s="1"/>
  <c r="AE11" i="20" s="1"/>
  <c r="AF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D17" i="20" s="1"/>
  <c r="E17" i="20" s="1"/>
  <c r="F17" i="20" s="1"/>
  <c r="G17" i="20" s="1"/>
  <c r="H17" i="20" s="1"/>
  <c r="I17" i="20" s="1"/>
  <c r="J17" i="20" s="1"/>
  <c r="K17" i="20" s="1"/>
  <c r="L17" i="20" s="1"/>
  <c r="M17" i="20" s="1"/>
  <c r="N17" i="20" s="1"/>
  <c r="O17" i="20" s="1"/>
  <c r="P17" i="20" s="1"/>
  <c r="Q17" i="20" s="1"/>
  <c r="R17" i="20" s="1"/>
  <c r="S17" i="20" s="1"/>
  <c r="T17" i="20" s="1"/>
  <c r="U17" i="20" s="1"/>
  <c r="V17" i="20" s="1"/>
  <c r="W17" i="20" s="1"/>
  <c r="X17" i="20" s="1"/>
  <c r="Y17" i="20" s="1"/>
  <c r="Z17" i="20" s="1"/>
  <c r="AA17" i="20" s="1"/>
  <c r="AB17" i="20" s="1"/>
  <c r="AC17" i="20" s="1"/>
  <c r="AD17" i="20" s="1"/>
  <c r="AE17" i="20" s="1"/>
  <c r="AF17" i="20" s="1"/>
  <c r="B16" i="20"/>
  <c r="C16" i="20" s="1"/>
  <c r="D16" i="20" s="1"/>
  <c r="E16" i="20" s="1"/>
  <c r="F16" i="20" s="1"/>
  <c r="G16" i="20" s="1"/>
  <c r="H16" i="20" s="1"/>
  <c r="I16" i="20" s="1"/>
  <c r="J16" i="20" s="1"/>
  <c r="K16" i="20" s="1"/>
  <c r="L16" i="20" s="1"/>
  <c r="M16" i="20" s="1"/>
  <c r="N16" i="20" s="1"/>
  <c r="O16" i="20" s="1"/>
  <c r="P16" i="20" s="1"/>
  <c r="Q16" i="20" s="1"/>
  <c r="R16" i="20" s="1"/>
  <c r="S16" i="20" s="1"/>
  <c r="T16" i="20" s="1"/>
  <c r="U16" i="20" s="1"/>
  <c r="V16" i="20" s="1"/>
  <c r="W16" i="20" s="1"/>
  <c r="X16" i="20" s="1"/>
  <c r="Y16" i="20" s="1"/>
  <c r="Z16" i="20" s="1"/>
  <c r="AA16" i="20" s="1"/>
  <c r="AB16" i="20" s="1"/>
  <c r="AC16" i="20" s="1"/>
  <c r="AD16" i="20" s="1"/>
  <c r="AE16" i="20" s="1"/>
  <c r="AF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D19" i="20" s="1"/>
  <c r="E19" i="20" s="1"/>
  <c r="F19" i="20" s="1"/>
  <c r="G19" i="20" s="1"/>
  <c r="H19" i="20" s="1"/>
  <c r="I19" i="20" s="1"/>
  <c r="J19" i="20" s="1"/>
  <c r="K19" i="20" s="1"/>
  <c r="L19" i="20" s="1"/>
  <c r="M19" i="20" s="1"/>
  <c r="N19" i="20" s="1"/>
  <c r="O19" i="20" s="1"/>
  <c r="P19" i="20" s="1"/>
  <c r="Q19" i="20" s="1"/>
  <c r="R19" i="20" s="1"/>
  <c r="S19" i="20" s="1"/>
  <c r="T19" i="20" s="1"/>
  <c r="U19" i="20" s="1"/>
  <c r="V19" i="20" s="1"/>
  <c r="W19" i="20" s="1"/>
  <c r="X19" i="20" s="1"/>
  <c r="Y19" i="20" s="1"/>
  <c r="Z19" i="20" s="1"/>
  <c r="AA19" i="20" s="1"/>
  <c r="AB19" i="20" s="1"/>
  <c r="AC19" i="20" s="1"/>
  <c r="AD19" i="20" s="1"/>
  <c r="AE19" i="20" s="1"/>
  <c r="AF19" i="20" s="1"/>
  <c r="B20" i="20"/>
  <c r="C20" i="20" s="1"/>
  <c r="D20" i="20" s="1"/>
  <c r="E20" i="20" s="1"/>
  <c r="F20" i="20" s="1"/>
  <c r="G20" i="20" s="1"/>
  <c r="H20" i="20" s="1"/>
  <c r="I20" i="20" s="1"/>
  <c r="J20" i="20" s="1"/>
  <c r="K20" i="20" s="1"/>
  <c r="L20" i="20" s="1"/>
  <c r="M20" i="20" s="1"/>
  <c r="N20" i="20" s="1"/>
  <c r="O20" i="20" s="1"/>
  <c r="P20" i="20" s="1"/>
  <c r="Q20" i="20" s="1"/>
  <c r="R20" i="20" s="1"/>
  <c r="S20" i="20" s="1"/>
  <c r="T20" i="20" s="1"/>
  <c r="U20" i="20" s="1"/>
  <c r="V20" i="20" s="1"/>
  <c r="W20" i="20" s="1"/>
  <c r="X20" i="20" s="1"/>
  <c r="Y20" i="20" s="1"/>
  <c r="Z20" i="20" s="1"/>
  <c r="AA20" i="20" s="1"/>
  <c r="AB20" i="20" s="1"/>
  <c r="AC20" i="20" s="1"/>
  <c r="AD20" i="20" s="1"/>
  <c r="AE20" i="20" s="1"/>
  <c r="AF20" i="20" s="1"/>
  <c r="B21" i="20"/>
  <c r="C21" i="20" s="1"/>
  <c r="D21" i="20" s="1"/>
  <c r="E21" i="20" s="1"/>
  <c r="F21" i="20" s="1"/>
  <c r="G21" i="20" s="1"/>
  <c r="H21" i="20" s="1"/>
  <c r="I21" i="20" s="1"/>
  <c r="J21" i="20" s="1"/>
  <c r="K21" i="20" s="1"/>
  <c r="L21" i="20" s="1"/>
  <c r="M21" i="20" s="1"/>
  <c r="N21" i="20" s="1"/>
  <c r="O21" i="20" s="1"/>
  <c r="P21" i="20" s="1"/>
  <c r="Q21" i="20" s="1"/>
  <c r="R21" i="20" s="1"/>
  <c r="S21" i="20" s="1"/>
  <c r="T21" i="20" s="1"/>
  <c r="U21" i="20" s="1"/>
  <c r="V21" i="20" s="1"/>
  <c r="W21" i="20" s="1"/>
  <c r="X21" i="20" s="1"/>
  <c r="Y21" i="20" s="1"/>
  <c r="Z21" i="20" s="1"/>
  <c r="AA21" i="20" s="1"/>
  <c r="AB21" i="20" s="1"/>
  <c r="AC21" i="20" s="1"/>
  <c r="AD21" i="20" s="1"/>
  <c r="AE21" i="20" s="1"/>
  <c r="AF21" i="20" s="1"/>
  <c r="B22" i="20"/>
  <c r="C22" i="20" s="1"/>
  <c r="D22" i="20" s="1"/>
  <c r="E22" i="20" s="1"/>
  <c r="F22" i="20" s="1"/>
  <c r="G22" i="20" s="1"/>
  <c r="H22" i="20" s="1"/>
  <c r="I22" i="20" s="1"/>
  <c r="J22" i="20" s="1"/>
  <c r="K22" i="20" s="1"/>
  <c r="L22" i="20" s="1"/>
  <c r="M22" i="20" s="1"/>
  <c r="N22" i="20" s="1"/>
  <c r="O22" i="20" s="1"/>
  <c r="P22" i="20" s="1"/>
  <c r="Q22" i="20" s="1"/>
  <c r="R22" i="20" s="1"/>
  <c r="S22" i="20" s="1"/>
  <c r="T22" i="20" s="1"/>
  <c r="U22" i="20" s="1"/>
  <c r="V22" i="20" s="1"/>
  <c r="W22" i="20" s="1"/>
  <c r="X22" i="20" s="1"/>
  <c r="Y22" i="20" s="1"/>
  <c r="Z22" i="20" s="1"/>
  <c r="AA22" i="20" s="1"/>
  <c r="AB22" i="20" s="1"/>
  <c r="AC22" i="20" s="1"/>
  <c r="AD22" i="20" s="1"/>
  <c r="AE22" i="20" s="1"/>
  <c r="AF22" i="20" s="1"/>
  <c r="B18" i="20"/>
  <c r="C18" i="20" s="1"/>
  <c r="D18" i="20" s="1"/>
  <c r="E18" i="20" s="1"/>
  <c r="F18" i="20" s="1"/>
  <c r="G18" i="20" s="1"/>
  <c r="H18" i="20" s="1"/>
  <c r="I18" i="20" s="1"/>
  <c r="J18" i="20" s="1"/>
  <c r="K18" i="20" s="1"/>
  <c r="L18" i="20" s="1"/>
  <c r="M18" i="20" s="1"/>
  <c r="N18" i="20" s="1"/>
  <c r="O18" i="20" s="1"/>
  <c r="P18" i="20" s="1"/>
  <c r="Q18" i="20" s="1"/>
  <c r="R18" i="20" s="1"/>
  <c r="S18" i="20" s="1"/>
  <c r="T18" i="20" s="1"/>
  <c r="U18" i="20" s="1"/>
  <c r="V18" i="20" s="1"/>
  <c r="W18" i="20" s="1"/>
  <c r="X18" i="20" s="1"/>
  <c r="Y18" i="20" s="1"/>
  <c r="Z18" i="20" s="1"/>
  <c r="AA18" i="20" s="1"/>
  <c r="AB18" i="20" s="1"/>
  <c r="AC18" i="20" s="1"/>
  <c r="AD18" i="20" s="1"/>
  <c r="AE18" i="20" s="1"/>
  <c r="AF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D8" i="20" s="1"/>
  <c r="E8" i="20" s="1"/>
  <c r="F8" i="20" s="1"/>
  <c r="G8" i="20" s="1"/>
  <c r="H8" i="20" s="1"/>
  <c r="I8" i="20" s="1"/>
  <c r="J8" i="20" s="1"/>
  <c r="K8" i="20" s="1"/>
  <c r="L8" i="20" s="1"/>
  <c r="M8" i="20" s="1"/>
  <c r="N8" i="20" s="1"/>
  <c r="O8" i="20" s="1"/>
  <c r="P8" i="20" s="1"/>
  <c r="Q8" i="20" s="1"/>
  <c r="R8" i="20" s="1"/>
  <c r="S8" i="20" s="1"/>
  <c r="T8" i="20" s="1"/>
  <c r="U8" i="20" s="1"/>
  <c r="V8" i="20" s="1"/>
  <c r="W8" i="20" s="1"/>
  <c r="X8" i="20" s="1"/>
  <c r="Y8" i="20" s="1"/>
  <c r="Z8" i="20" s="1"/>
  <c r="AA8" i="20" s="1"/>
  <c r="AB8" i="20" s="1"/>
  <c r="AC8" i="20" s="1"/>
  <c r="AD8" i="20" s="1"/>
  <c r="AE8" i="20" s="1"/>
  <c r="AF8" i="20" s="1"/>
  <c r="B2" i="20"/>
  <c r="C2" i="20" s="1"/>
  <c r="D2" i="20" s="1"/>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AA2" i="20" s="1"/>
  <c r="AB2" i="20" s="1"/>
  <c r="AC2" i="20" s="1"/>
  <c r="AD2" i="20" s="1"/>
  <c r="AE2" i="20" s="1"/>
  <c r="AF2" i="20" s="1"/>
  <c r="B5" i="20"/>
  <c r="C5" i="20" s="1"/>
  <c r="D5" i="20" s="1"/>
  <c r="E5" i="20" s="1"/>
  <c r="F5" i="20" s="1"/>
  <c r="G5" i="20" s="1"/>
  <c r="H5" i="20" s="1"/>
  <c r="I5" i="20" s="1"/>
  <c r="J5" i="20" s="1"/>
  <c r="K5" i="20" s="1"/>
  <c r="L5" i="20" s="1"/>
  <c r="M5" i="20" s="1"/>
  <c r="N5" i="20" s="1"/>
  <c r="O5" i="20" s="1"/>
  <c r="P5" i="20" s="1"/>
  <c r="Q5" i="20" s="1"/>
  <c r="R5" i="20" s="1"/>
  <c r="S5" i="20" s="1"/>
  <c r="T5" i="20" s="1"/>
  <c r="U5" i="20" s="1"/>
  <c r="V5" i="20" s="1"/>
  <c r="W5" i="20" s="1"/>
  <c r="X5" i="20" s="1"/>
  <c r="Y5" i="20" s="1"/>
  <c r="Z5" i="20" s="1"/>
  <c r="AA5" i="20" s="1"/>
  <c r="AB5" i="20" s="1"/>
  <c r="AC5" i="20" s="1"/>
  <c r="AD5" i="20" s="1"/>
  <c r="AE5" i="20" s="1"/>
  <c r="AF5" i="20" s="1"/>
  <c r="B23" i="20"/>
  <c r="C23" i="20" s="1"/>
  <c r="D23" i="20" s="1"/>
  <c r="E23" i="20" s="1"/>
  <c r="F23" i="20" s="1"/>
  <c r="G23" i="20" s="1"/>
  <c r="H23" i="20" s="1"/>
  <c r="I23" i="20" s="1"/>
  <c r="J23" i="20" s="1"/>
  <c r="K23" i="20" s="1"/>
  <c r="L23" i="20" s="1"/>
  <c r="M23" i="20" s="1"/>
  <c r="N23" i="20" s="1"/>
  <c r="O23" i="20" s="1"/>
  <c r="P23" i="20" s="1"/>
  <c r="Q23" i="20" s="1"/>
  <c r="R23" i="20" s="1"/>
  <c r="S23" i="20" s="1"/>
  <c r="T23" i="20" s="1"/>
  <c r="U23" i="20" s="1"/>
  <c r="V23" i="20" s="1"/>
  <c r="W23" i="20" s="1"/>
  <c r="X23" i="20" s="1"/>
  <c r="Y23" i="20" s="1"/>
  <c r="Z23" i="20" s="1"/>
  <c r="AA23" i="20" s="1"/>
  <c r="AB23" i="20" s="1"/>
  <c r="AC23" i="20" s="1"/>
  <c r="AD23" i="20" s="1"/>
  <c r="AE23" i="20" s="1"/>
  <c r="AF23" i="20" s="1"/>
  <c r="B7" i="20"/>
  <c r="C7" i="20" s="1"/>
  <c r="D7" i="20" s="1"/>
  <c r="E7" i="20" s="1"/>
  <c r="F7" i="20" s="1"/>
  <c r="G7" i="20" s="1"/>
  <c r="H7" i="20" s="1"/>
  <c r="I7" i="20" s="1"/>
  <c r="J7" i="20" s="1"/>
  <c r="K7" i="20" s="1"/>
  <c r="L7" i="20" s="1"/>
  <c r="M7" i="20" s="1"/>
  <c r="N7" i="20" s="1"/>
  <c r="O7" i="20" s="1"/>
  <c r="P7" i="20" s="1"/>
  <c r="Q7" i="20" s="1"/>
  <c r="R7" i="20" s="1"/>
  <c r="S7" i="20" s="1"/>
  <c r="T7" i="20" s="1"/>
  <c r="U7" i="20" s="1"/>
  <c r="V7" i="20" s="1"/>
  <c r="W7" i="20" s="1"/>
  <c r="X7" i="20" s="1"/>
  <c r="Y7" i="20" s="1"/>
  <c r="Z7" i="20" s="1"/>
  <c r="AA7" i="20" s="1"/>
  <c r="AB7" i="20" s="1"/>
  <c r="AC7" i="20" s="1"/>
  <c r="AD7" i="20" s="1"/>
  <c r="AE7" i="20" s="1"/>
  <c r="AF7" i="20" s="1"/>
  <c r="B6" i="20"/>
  <c r="C6" i="20" s="1"/>
  <c r="D6" i="20" s="1"/>
  <c r="E6" i="20" s="1"/>
  <c r="F6" i="20" s="1"/>
  <c r="G6" i="20" s="1"/>
  <c r="H6" i="20" s="1"/>
  <c r="I6" i="20" s="1"/>
  <c r="J6" i="20" s="1"/>
  <c r="K6" i="20" s="1"/>
  <c r="L6" i="20" s="1"/>
  <c r="M6" i="20" s="1"/>
  <c r="N6" i="20" s="1"/>
  <c r="O6" i="20" s="1"/>
  <c r="P6" i="20" s="1"/>
  <c r="Q6" i="20" s="1"/>
  <c r="R6" i="20" s="1"/>
  <c r="S6" i="20" s="1"/>
  <c r="T6" i="20" s="1"/>
  <c r="U6" i="20" s="1"/>
  <c r="V6" i="20" s="1"/>
  <c r="W6" i="20" s="1"/>
  <c r="X6" i="20" s="1"/>
  <c r="Y6" i="20" s="1"/>
  <c r="Z6" i="20" s="1"/>
  <c r="AA6" i="20" s="1"/>
  <c r="AB6" i="20" s="1"/>
  <c r="AC6" i="20" s="1"/>
  <c r="AD6" i="20" s="1"/>
  <c r="AE6" i="20" s="1"/>
  <c r="AF6" i="20" s="1"/>
  <c r="B9" i="20"/>
  <c r="C9" i="20" s="1"/>
  <c r="D9" i="20" s="1"/>
  <c r="E9" i="20" s="1"/>
  <c r="F9" i="20" s="1"/>
  <c r="G9" i="20" s="1"/>
  <c r="H9" i="20" s="1"/>
  <c r="I9" i="20" s="1"/>
  <c r="J9" i="20" s="1"/>
  <c r="K9" i="20" s="1"/>
  <c r="L9" i="20" s="1"/>
  <c r="M9" i="20" s="1"/>
  <c r="N9" i="20" s="1"/>
  <c r="O9" i="20" s="1"/>
  <c r="P9" i="20" s="1"/>
  <c r="Q9" i="20" s="1"/>
  <c r="R9" i="20" s="1"/>
  <c r="S9" i="20" s="1"/>
  <c r="T9" i="20" s="1"/>
  <c r="U9" i="20" s="1"/>
  <c r="V9" i="20" s="1"/>
  <c r="W9" i="20" s="1"/>
  <c r="X9" i="20" s="1"/>
  <c r="Y9" i="20" s="1"/>
  <c r="Z9" i="20" s="1"/>
  <c r="AA9" i="20" s="1"/>
  <c r="AB9" i="20" s="1"/>
  <c r="AC9" i="20" s="1"/>
  <c r="AD9" i="20" s="1"/>
  <c r="AE9" i="20" s="1"/>
  <c r="AF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<sst xmlns="http://schemas.openxmlformats.org/spreadsheetml/2006/main" count="2020" uniqueCount="791">
  <si>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</si>
  <si>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</si>
  <si>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</si>
  <si>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</si>
  <si>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</si>
  <si>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</si>
  <si>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</si>
  <si>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</si>
  <si>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</si>
  <si>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</si>
  <si>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</si>
  <si>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</si>
  <si>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</si>
  <si>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</si>
  <si>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</si>
  <si>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</si>
  <si>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</si>
  <si>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</si>
  <si>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</si>
  <si>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</si>
  <si>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</si>
  <si>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</si>
  <si>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</si>
  <si>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</si>
  <si>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</si>
  <si>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</si>
  <si>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</si>
  <si>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</si>
  <si>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5" type="noConversion"/>
  </si>
  <si>
    <t>BTU</t>
    <phoneticPr fontId="35"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</si>
  <si>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</si>
  <si>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</si>
  <si>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</si>
  <si>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</si>
  <si>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</si>
  <si>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</si>
  <si>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</si>
  <si>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</si>
  <si>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</si>
  <si>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</si>
  <si>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</si>
  <si>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5" type="noConversion"/>
  </si>
  <si>
    <t>Petroleum</t>
    <phoneticPr fontId="35" type="noConversion"/>
  </si>
  <si>
    <t>Gas</t>
    <phoneticPr fontId="35" type="noConversion"/>
  </si>
  <si>
    <t>Electricity</t>
    <phoneticPr fontId="35" type="noConversion"/>
  </si>
  <si>
    <t>Renewables</t>
    <phoneticPr fontId="35" type="noConversion"/>
  </si>
  <si>
    <t>Coal</t>
    <phoneticPr fontId="35" type="noConversion"/>
  </si>
  <si>
    <t>Non-ferrous Metals</t>
    <phoneticPr fontId="35" type="noConversion"/>
  </si>
  <si>
    <t>Steel</t>
    <phoneticPr fontId="35" type="noConversion"/>
  </si>
  <si>
    <t>Electronics</t>
    <phoneticPr fontId="35"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</si>
  <si>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</si>
  <si>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5" type="noConversion"/>
  </si>
  <si>
    <t>주요지표</t>
    <phoneticPr fontId="55" type="noConversion"/>
  </si>
  <si>
    <t>자동차 형태별 (백만대)</t>
  </si>
  <si>
    <t>승용차</t>
    <phoneticPr fontId="55" type="noConversion"/>
  </si>
  <si>
    <t>화물차</t>
    <phoneticPr fontId="55" type="noConversion"/>
  </si>
  <si>
    <t>승합차</t>
    <phoneticPr fontId="55" type="noConversion"/>
  </si>
  <si>
    <t>자동차 연료별 (백만대)</t>
  </si>
  <si>
    <t>휘발유</t>
  </si>
  <si>
    <t>경유</t>
  </si>
  <si>
    <t>전기자동차</t>
  </si>
  <si>
    <t>수소자동차</t>
  </si>
  <si>
    <t>기타</t>
  </si>
  <si>
    <t>에너지 수요</t>
  </si>
  <si>
    <t>신재생∙기타</t>
  </si>
  <si>
    <t>수송 수단별 에너지수요</t>
    <phoneticPr fontId="55" type="noConversion"/>
  </si>
  <si>
    <t>도로</t>
    <phoneticPr fontId="55" type="noConversion"/>
  </si>
  <si>
    <t>철도</t>
    <phoneticPr fontId="55" type="noConversion"/>
  </si>
  <si>
    <t>항공</t>
    <phoneticPr fontId="55" type="noConversion"/>
  </si>
  <si>
    <t>해운</t>
    <phoneticPr fontId="55"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</si>
  <si>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</si>
  <si>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</si>
  <si>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5" type="noConversion"/>
  </si>
  <si>
    <t>인구 (백만명)</t>
  </si>
  <si>
    <t>가구 (백만가구)</t>
  </si>
  <si>
    <t>형태별 주택(백만호)</t>
    <phoneticPr fontId="55" type="noConversion"/>
  </si>
  <si>
    <t>단독</t>
    <phoneticPr fontId="55" type="noConversion"/>
  </si>
  <si>
    <t>아파트</t>
    <phoneticPr fontId="55" type="noConversion"/>
  </si>
  <si>
    <t>공동주택</t>
    <phoneticPr fontId="55" type="noConversion"/>
  </si>
  <si>
    <r>
      <t>평균 주거 면적(m</t>
    </r>
    <r>
      <rPr>
        <sz val="7"/>
        <color theme="1"/>
        <rFont val="HY견고딕"/>
        <family val="1"/>
        <charset val="129"/>
      </rPr>
      <t>²</t>
    </r>
    <r>
      <rPr>
        <sz val="7"/>
        <color theme="1"/>
        <rFont val="맑은 고딕"/>
        <family val="3"/>
        <charset val="129"/>
      </rPr>
      <t>)</t>
    </r>
  </si>
  <si>
    <t>에너지 지표</t>
    <phoneticPr fontId="55" type="noConversion"/>
  </si>
  <si>
    <t>주택당 에너지수요(toe/천원)</t>
  </si>
  <si>
    <t>면적당 에너지수요(toe/100m²)</t>
    <phoneticPr fontId="55" type="noConversion"/>
  </si>
  <si>
    <t>가구당 에너지수요(toe/가구)</t>
  </si>
  <si>
    <t>인구당 전기수요(MWh/명)</t>
  </si>
  <si>
    <t>도시가스</t>
  </si>
  <si>
    <t>지역난방</t>
    <phoneticPr fontId="55" type="noConversion"/>
  </si>
  <si>
    <t>용도별 에너지 수요</t>
    <phoneticPr fontId="55" type="noConversion"/>
  </si>
  <si>
    <t>난방/온수</t>
    <phoneticPr fontId="55" type="noConversion"/>
  </si>
  <si>
    <t>취사</t>
    <phoneticPr fontId="55" type="noConversion"/>
  </si>
  <si>
    <t>냉방</t>
    <phoneticPr fontId="55" type="noConversion"/>
  </si>
  <si>
    <t>조명</t>
    <phoneticPr fontId="55" type="noConversion"/>
  </si>
  <si>
    <t>기타 가전기기</t>
    <phoneticPr fontId="55"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</si>
  <si>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</si>
  <si>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</si>
  <si>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</si>
  <si>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</si>
  <si>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</si>
  <si>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</si>
  <si>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</si>
  <si>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</si>
  <si>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</si>
  <si>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</si>
  <si>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</si>
  <si>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</si>
  <si>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5" type="noConversion"/>
  </si>
  <si>
    <t>도시가스</t>
    <phoneticPr fontId="55" type="noConversion"/>
  </si>
  <si>
    <t>부문별 에너지 수요</t>
    <phoneticPr fontId="55" type="noConversion"/>
  </si>
  <si>
    <t>상업 서비스</t>
  </si>
  <si>
    <t>공공 서비스</t>
  </si>
  <si>
    <t>Gasoline</t>
    <phoneticPr fontId="55" type="noConversion"/>
  </si>
  <si>
    <t>Diesel</t>
    <phoneticPr fontId="55" type="noConversion"/>
  </si>
  <si>
    <t>Heavy oil</t>
    <phoneticPr fontId="55" type="noConversion"/>
  </si>
  <si>
    <t>Jet fuel</t>
    <phoneticPr fontId="55" type="noConversion"/>
  </si>
  <si>
    <t>Butane</t>
    <phoneticPr fontId="55" type="noConversion"/>
  </si>
  <si>
    <t>Other petroluem products</t>
    <phoneticPr fontId="55" type="noConversion"/>
  </si>
  <si>
    <t>City gas</t>
    <phoneticPr fontId="55" type="noConversion"/>
  </si>
  <si>
    <t>Renewables and others</t>
    <phoneticPr fontId="35" type="noConversion"/>
  </si>
  <si>
    <t>unit: M TOE</t>
    <phoneticPr fontId="35"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</si>
  <si>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</si>
  <si>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</si>
  <si>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</si>
  <si>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</si>
  <si>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</si>
  <si>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</si>
  <si>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5" type="noConversion"/>
  </si>
  <si>
    <t>비철금속</t>
  </si>
  <si>
    <t>비철금속</t>
    <phoneticPr fontId="35" type="noConversion"/>
  </si>
  <si>
    <t>조립금속</t>
    <phoneticPr fontId="35"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</si>
  <si>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</si>
  <si>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</si>
  <si>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</si>
  <si>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</si>
  <si>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</si>
  <si>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</si>
  <si>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</si>
  <si>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</si>
  <si>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</si>
  <si>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</si>
  <si>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</si>
  <si>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</si>
  <si>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</si>
  <si>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</si>
  <si>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</si>
  <si>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</si>
  <si>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</si>
  <si>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</si>
  <si>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</si>
  <si>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</si>
  <si>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</si>
  <si>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</si>
  <si>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</si>
  <si>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</si>
  <si>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</si>
  <si>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</si>
  <si>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</si>
  <si>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</si>
  <si>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</si>
  <si>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</si>
  <si>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</si>
  <si>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</si>
  <si>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</si>
  <si>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</si>
  <si>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</si>
  <si>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</si>
  <si>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</si>
  <si>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</si>
  <si>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</si>
  <si>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</si>
  <si>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</si>
  <si>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</si>
  <si>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</si>
  <si>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</si>
  <si>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</si>
  <si>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</si>
  <si>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</si>
  <si>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</si>
  <si>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</si>
  <si>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</si>
  <si>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</si>
  <si>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</si>
  <si>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</si>
  <si>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</si>
  <si>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</si>
  <si>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</si>
  <si>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</si>
  <si>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</si>
  <si>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</si>
  <si>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</si>
  <si>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</si>
  <si>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</si>
  <si>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</si>
  <si>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</si>
  <si>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</si>
  <si>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</si>
  <si>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</si>
  <si>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</si>
  <si>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</si>
  <si>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</si>
  <si>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</si>
  <si>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</si>
  <si>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</si>
  <si>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</si>
  <si>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</si>
  <si>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</si>
  <si>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</si>
  <si>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</si>
  <si>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</si>
  <si>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</si>
  <si>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</si>
  <si>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</si>
  <si>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</si>
  <si>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</si>
  <si>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</si>
  <si>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</si>
  <si>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</si>
  <si>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</si>
  <si>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</si>
  <si>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</si>
  <si>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</si>
  <si>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</si>
  <si>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</si>
  <si>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</si>
  <si>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</si>
  <si>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</si>
  <si>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</si>
  <si>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</si>
  <si>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</si>
  <si>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</si>
  <si>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</si>
  <si>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</si>
  <si>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</si>
  <si>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</si>
  <si>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</si>
  <si>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</si>
  <si>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</si>
  <si>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</si>
  <si>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</si>
  <si>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</si>
  <si>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</si>
  <si>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</si>
  <si>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</si>
  <si>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</si>
  <si>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</si>
  <si>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</si>
  <si>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</si>
  <si>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</si>
  <si>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</si>
  <si>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</si>
  <si>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</si>
  <si>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</si>
  <si>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</si>
  <si>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</si>
  <si>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</si>
  <si>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</si>
  <si>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</si>
  <si>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</si>
  <si>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</si>
  <si>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</si>
  <si>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</si>
  <si>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</si>
  <si>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</si>
  <si>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</si>
  <si>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</si>
  <si>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</si>
  <si>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</si>
  <si>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</si>
  <si>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</si>
  <si>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</si>
  <si>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</si>
  <si>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</si>
  <si>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</si>
  <si>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</si>
  <si>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</si>
  <si>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</si>
  <si>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</si>
  <si>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</si>
  <si>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</si>
  <si>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</si>
  <si>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</si>
  <si>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</si>
  <si>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</si>
  <si>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</si>
  <si>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</si>
  <si>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</si>
  <si>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</si>
  <si>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</si>
  <si>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</si>
  <si>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</si>
  <si>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</si>
  <si>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</si>
  <si>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</si>
  <si>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</si>
  <si>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</si>
  <si>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</si>
  <si>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</si>
  <si>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</si>
  <si>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</si>
  <si>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</si>
  <si>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</si>
  <si>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</si>
  <si>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</si>
  <si>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</si>
  <si>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</si>
  <si>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</si>
  <si>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</si>
  <si>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</si>
  <si>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</si>
  <si>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</si>
  <si>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</si>
  <si>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</si>
  <si>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</si>
  <si>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</si>
  <si>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</si>
  <si>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</si>
  <si>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</si>
  <si>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</si>
  <si>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</si>
  <si>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</si>
  <si>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</si>
  <si>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</si>
  <si>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</si>
  <si>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</si>
  <si>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</si>
  <si>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</si>
  <si>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</si>
  <si>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</si>
  <si>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</si>
  <si>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</si>
  <si>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</si>
  <si>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</si>
  <si>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</si>
  <si>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</si>
  <si>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</si>
  <si>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</si>
  <si>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</si>
  <si>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</si>
  <si>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</si>
  <si>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</si>
  <si>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</si>
  <si>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</si>
  <si>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</si>
  <si>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</si>
  <si>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</si>
  <si>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</si>
  <si>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</si>
  <si>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</si>
  <si>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</si>
  <si>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</si>
  <si>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</si>
  <si>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</si>
  <si>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</si>
  <si>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</si>
  <si>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</si>
  <si>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</si>
  <si>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</si>
  <si>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</si>
  <si>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</si>
  <si>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</si>
  <si>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</si>
  <si>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</si>
  <si>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</si>
  <si>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</si>
  <si>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</si>
  <si>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</si>
  <si>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</si>
  <si>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</si>
  <si>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</si>
  <si>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</si>
  <si>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</si>
  <si>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</si>
  <si>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</si>
  <si>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</si>
  <si>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</si>
  <si>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</si>
  <si>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</si>
  <si>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</si>
  <si>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</si>
  <si>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</si>
  <si>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</si>
  <si>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</si>
  <si>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</si>
  <si>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</si>
  <si>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</si>
  <si>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</si>
  <si>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</si>
  <si>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</si>
  <si>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</si>
  <si>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</si>
  <si>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</si>
  <si>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</si>
  <si>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</si>
  <si>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</si>
  <si>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</si>
  <si>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</si>
  <si>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</si>
  <si>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</si>
  <si>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</si>
  <si>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</si>
  <si>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</si>
  <si>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</si>
  <si>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</si>
  <si>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</si>
  <si>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</si>
  <si>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</si>
  <si>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</si>
  <si>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</si>
  <si>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</si>
  <si>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</si>
  <si>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</si>
  <si>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</si>
  <si>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</si>
  <si>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</si>
  <si>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5" type="noConversion"/>
  </si>
  <si>
    <t>BAU Industrial Fuel Use</t>
    <phoneticPr fontId="35"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</si>
  <si>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</si>
  <si>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</si>
  <si>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</si>
  <si>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</si>
  <si>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</si>
  <si>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</si>
  <si>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</si>
  <si>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</si>
  <si>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</si>
  <si>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</si>
  <si>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</si>
  <si>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5" type="noConversion"/>
  </si>
  <si>
    <t>NATURAL GAS</t>
    <phoneticPr fontId="35" type="noConversion"/>
  </si>
  <si>
    <t>BIOMASS</t>
    <phoneticPr fontId="35" type="noConversion"/>
  </si>
  <si>
    <t>Industry Others Total</t>
    <phoneticPr fontId="35" type="noConversion"/>
  </si>
  <si>
    <t>Feedstock</t>
    <phoneticPr fontId="35" type="noConversion"/>
  </si>
  <si>
    <t>Crude Oil</t>
    <phoneticPr fontId="35" type="noConversion"/>
  </si>
  <si>
    <t>N/A</t>
  </si>
  <si>
    <t>N/A</t>
    <phoneticPr fontId="35" type="noConversion"/>
  </si>
  <si>
    <t>Petroleum-diesel</t>
    <phoneticPr fontId="35" type="noConversion"/>
  </si>
  <si>
    <t>Heat</t>
    <phoneticPr fontId="35" type="noConversion"/>
  </si>
  <si>
    <t>Heavy or Residual Oil</t>
    <phoneticPr fontId="35" type="noConversion"/>
  </si>
  <si>
    <t>LPG Propane or butane</t>
    <phoneticPr fontId="35" type="noConversion"/>
  </si>
  <si>
    <t>Others</t>
    <phoneticPr fontId="35" type="noConversion"/>
  </si>
  <si>
    <t>unit: BTU</t>
    <phoneticPr fontId="35" type="noConversion"/>
  </si>
  <si>
    <t>Renewables - on-site generation</t>
    <phoneticPr fontId="35" type="noConversion"/>
  </si>
  <si>
    <t>추정값 구하기 위한 참고셀</t>
    <phoneticPr fontId="35" type="noConversion"/>
  </si>
  <si>
    <t>석유화학</t>
    <phoneticPr fontId="35" type="noConversion"/>
  </si>
  <si>
    <t>철강</t>
    <phoneticPr fontId="35" type="noConversion"/>
  </si>
  <si>
    <t>기타</t>
    <phoneticPr fontId="35" type="noConversion"/>
  </si>
  <si>
    <t>petroleum-diesel</t>
    <phoneticPr fontId="35" type="noConversion"/>
  </si>
  <si>
    <t>unit: 1,000 TOE</t>
    <phoneticPr fontId="35" type="noConversion"/>
  </si>
  <si>
    <t>unit: %</t>
    <phoneticPr fontId="35" type="noConversion"/>
  </si>
  <si>
    <t>CAGR(2020-2050)</t>
    <phoneticPr fontId="35"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</si>
  <si>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</si>
  <si>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</si>
  <si>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</si>
  <si>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</si>
  <si>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</si>
  <si>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</si>
  <si>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</si>
  <si>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</si>
  <si>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</si>
  <si>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</si>
  <si>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</si>
  <si>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</si>
  <si>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</si>
  <si>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</si>
  <si>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</si>
  <si>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</si>
  <si>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</si>
  <si>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</si>
  <si>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</si>
  <si>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</si>
  <si>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</si>
  <si>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</si>
  <si>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</si>
  <si>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</si>
  <si>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</si>
  <si>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</si>
  <si>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</si>
  <si>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</si>
  <si>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</si>
  <si>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</si>
  <si>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</si>
  <si>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</si>
  <si>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</si>
  <si>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</si>
  <si>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</si>
  <si>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</si>
  <si>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</si>
  <si>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</si>
  <si>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</si>
  <si>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</si>
  <si>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</si>
  <si>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</si>
  <si>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</si>
  <si>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</si>
  <si>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</si>
  <si>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5" type="noConversion"/>
  </si>
  <si>
    <t>Non-ferrous Metals Total</t>
    <phoneticPr fontId="35"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</si>
  <si>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</si>
  <si>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</si>
  <si>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</si>
  <si>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</si>
  <si>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</si>
  <si>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</si>
  <si>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</si>
  <si>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</si>
  <si>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</si>
  <si>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</si>
  <si>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</si>
  <si>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</si>
  <si>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</si>
  <si>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</si>
  <si>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</si>
  <si>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</si>
  <si>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</si>
  <si>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</si>
  <si>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</si>
  <si>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</si>
  <si>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</si>
  <si>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</si>
  <si>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</si>
  <si>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</si>
  <si>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</si>
  <si>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</si>
  <si>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</si>
  <si>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</si>
  <si>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</si>
  <si>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</si>
  <si>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</si>
  <si>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</si>
  <si>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</si>
  <si>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</si>
  <si>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</si>
  <si>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</si>
  <si>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</si>
  <si>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</si>
  <si>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</si>
  <si>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5" type="noConversion"/>
  </si>
  <si>
    <t>지역난방</t>
    <phoneticPr fontId="55" type="noConversion"/>
  </si>
  <si>
    <t>수송</t>
    <phoneticPr fontId="55" type="noConversion"/>
  </si>
  <si>
    <t>가정</t>
    <phoneticPr fontId="55" type="noConversion"/>
  </si>
  <si>
    <t>서비스</t>
  </si>
  <si>
    <t>YoY Growth Rate(%)</t>
    <phoneticPr fontId="35" type="noConversion"/>
  </si>
  <si>
    <r>
      <t xml:space="preserve">석탄 공급 및 수요 </t>
    </r>
    <r>
      <rPr>
        <i/>
        <sz val="10"/>
        <color theme="1"/>
        <rFont val="맑은 고딕"/>
        <family val="3"/>
        <charset val="129"/>
      </rPr>
      <t>- 기준 시나리오</t>
    </r>
  </si>
  <si>
    <t>총공급</t>
    <phoneticPr fontId="55" type="noConversion"/>
  </si>
  <si>
    <t>전환부문</t>
    <phoneticPr fontId="55" type="noConversion"/>
  </si>
  <si>
    <t>최종소비부문</t>
    <phoneticPr fontId="55" type="noConversion"/>
  </si>
  <si>
    <t>제품별 석탄 수요</t>
    <phoneticPr fontId="55" type="noConversion"/>
  </si>
  <si>
    <t>국내탄</t>
    <phoneticPr fontId="55" type="noConversion"/>
  </si>
  <si>
    <t>수입무연탄</t>
    <phoneticPr fontId="55" type="noConversion"/>
  </si>
  <si>
    <t>연료용 유연탄</t>
    <phoneticPr fontId="55" type="noConversion"/>
  </si>
  <si>
    <t>원료용 유연탄</t>
    <phoneticPr fontId="55" type="noConversion"/>
  </si>
  <si>
    <t>용도별 석탄 수요</t>
    <phoneticPr fontId="55" type="noConversion"/>
  </si>
  <si>
    <t>코크스 제조 및 고로용</t>
    <phoneticPr fontId="55" type="noConversion"/>
  </si>
  <si>
    <t>킬른가열용</t>
    <phoneticPr fontId="55" type="noConversion"/>
  </si>
  <si>
    <t>기타 산업용</t>
    <phoneticPr fontId="55" type="noConversion"/>
  </si>
  <si>
    <t>연탄용</t>
    <phoneticPr fontId="55" type="noConversion"/>
  </si>
  <si>
    <r>
      <t xml:space="preserve">석유 공급 및 수요 </t>
    </r>
    <r>
      <rPr>
        <i/>
        <sz val="10"/>
        <color theme="1"/>
        <rFont val="맑은 고딕"/>
        <family val="3"/>
        <charset val="129"/>
      </rPr>
      <t>- 기준 시나리오</t>
    </r>
  </si>
  <si>
    <t>원유 수요*</t>
  </si>
  <si>
    <t>국제 벙커링</t>
    <phoneticPr fontId="55" type="noConversion"/>
  </si>
  <si>
    <t>전환</t>
    <phoneticPr fontId="55" type="noConversion"/>
  </si>
  <si>
    <t>최종소비</t>
    <phoneticPr fontId="55" type="noConversion"/>
  </si>
  <si>
    <t>제품별 석유 수요</t>
    <phoneticPr fontId="55" type="noConversion"/>
  </si>
  <si>
    <t>휘발유</t>
    <phoneticPr fontId="55" type="noConversion"/>
  </si>
  <si>
    <t>등유</t>
    <phoneticPr fontId="55" type="noConversion"/>
  </si>
  <si>
    <t>경유</t>
    <phoneticPr fontId="55" type="noConversion"/>
  </si>
  <si>
    <t>중유</t>
    <phoneticPr fontId="55" type="noConversion"/>
  </si>
  <si>
    <t>제트유</t>
    <phoneticPr fontId="55" type="noConversion"/>
  </si>
  <si>
    <t>프로판</t>
    <phoneticPr fontId="55" type="noConversion"/>
  </si>
  <si>
    <t>부탄</t>
    <phoneticPr fontId="55" type="noConversion"/>
  </si>
  <si>
    <t>납사</t>
    <phoneticPr fontId="55" type="noConversion"/>
  </si>
  <si>
    <t>기타 비에너지유</t>
    <phoneticPr fontId="55" type="noConversion"/>
  </si>
  <si>
    <t>용도별 석유 수요</t>
  </si>
  <si>
    <t>산업</t>
    <phoneticPr fontId="55" type="noConversion"/>
  </si>
  <si>
    <t>(연료)</t>
    <phoneticPr fontId="55" type="noConversion"/>
  </si>
  <si>
    <t>(원료)</t>
    <phoneticPr fontId="55" type="noConversion"/>
  </si>
  <si>
    <t>전환</t>
  </si>
  <si>
    <t>* 원유 수입 및 재고 변화를 포함한 총수요</t>
  </si>
  <si>
    <t>KEEI Long-term Energy Outlook (for BAU)</t>
    <phoneticPr fontId="35" type="noConversion"/>
  </si>
  <si>
    <t>KESIS Energy Balance (for historical values)</t>
    <phoneticPr fontId="35" type="noConversion"/>
  </si>
  <si>
    <t>KEA Energy Use Survey (for historical values)</t>
    <phoneticPr fontId="35" type="noConversion"/>
  </si>
  <si>
    <t>포함안됨</t>
    <phoneticPr fontId="35" type="noConversion"/>
  </si>
  <si>
    <t>산업&gt;기타</t>
    <phoneticPr fontId="35" type="noConversion"/>
  </si>
  <si>
    <t>에너지산업 자체소비&gt;석탄광업</t>
    <phoneticPr fontId="35" type="noConversion"/>
  </si>
  <si>
    <t>최종소비&gt;산업&gt;농림업, 어업</t>
    <phoneticPr fontId="35" type="noConversion"/>
  </si>
  <si>
    <t>최종소비&gt;산업&gt;광업(석탄광업제외)</t>
    <phoneticPr fontId="35" type="noConversion"/>
  </si>
  <si>
    <t>최종소비&gt;산업&gt;식품및담배</t>
    <phoneticPr fontId="35" type="noConversion"/>
  </si>
  <si>
    <t>최종소비&gt;산업&gt;섬유및가죽</t>
    <phoneticPr fontId="35" type="noConversion"/>
  </si>
  <si>
    <t>최종소비&gt;산업&gt;목재및나무제품</t>
    <phoneticPr fontId="35" type="noConversion"/>
  </si>
  <si>
    <t>최종소비&gt;산업&gt;제지및인쇄</t>
    <phoneticPr fontId="35" type="noConversion"/>
  </si>
  <si>
    <t>최종소비&gt;산업&gt;화학및석유화학</t>
    <phoneticPr fontId="35" type="noConversion"/>
  </si>
  <si>
    <t>최종소비&gt;산업&gt;비금속광물</t>
    <phoneticPr fontId="35" type="noConversion"/>
  </si>
  <si>
    <t>최종소비&gt;산업&gt;철강</t>
    <phoneticPr fontId="35" type="noConversion"/>
  </si>
  <si>
    <t>최종소비&gt;산업&gt;비철금속</t>
    <phoneticPr fontId="35" type="noConversion"/>
  </si>
  <si>
    <t>최종소비&gt;산업&gt;기계류</t>
    <phoneticPr fontId="35" type="noConversion"/>
  </si>
  <si>
    <t>최종소비&gt;산업&gt;수송장비</t>
    <phoneticPr fontId="35" type="noConversion"/>
  </si>
  <si>
    <t>최종소비&gt;산업&gt;기타제조</t>
    <phoneticPr fontId="35" type="noConversion"/>
  </si>
  <si>
    <t>최종소비&gt;산업&gt;건설업</t>
    <phoneticPr fontId="35" type="noConversion"/>
  </si>
  <si>
    <t>최종소비&gt;공공</t>
    <phoneticPr fontId="35" type="noConversion"/>
  </si>
  <si>
    <t>전환공정&gt;석유정제
에너지산업 자체소비&gt;석유정제</t>
    <phoneticPr fontId="35" type="noConversion"/>
  </si>
  <si>
    <t>전환공정&gt;가스제조
에너지산업 자체소비&gt;가스제조</t>
    <phoneticPr fontId="35" type="noConversion"/>
  </si>
  <si>
    <t>원유및천연가스채굴</t>
    <phoneticPr fontId="35" type="noConversion"/>
  </si>
  <si>
    <t>에너지산업 자체소비&gt;원유및천연가스채굴</t>
    <phoneticPr fontId="35" type="noConversion"/>
  </si>
  <si>
    <t>산업&gt;석유화학</t>
    <phoneticPr fontId="35" type="noConversion"/>
  </si>
  <si>
    <t>산업&gt;비철금속</t>
    <phoneticPr fontId="35" type="noConversion"/>
  </si>
  <si>
    <t>산업&gt;조립금속</t>
    <phoneticPr fontId="35" type="noConversion"/>
  </si>
  <si>
    <t>서비스&gt;공공</t>
    <phoneticPr fontId="35" type="noConversion"/>
  </si>
  <si>
    <t>산업&gt;철강</t>
    <phoneticPr fontId="35" type="noConversion"/>
  </si>
  <si>
    <t>2019 Industrial Fuel Use</t>
    <phoneticPr fontId="35" type="noConversion"/>
  </si>
  <si>
    <t xml:space="preserve">Conversion rate (1 MTOE =): </t>
    <phoneticPr fontId="35" type="noConversion"/>
  </si>
  <si>
    <t>Fuel Mapping</t>
    <phoneticPr fontId="35" type="noConversion"/>
  </si>
  <si>
    <t>EPS fuel category</t>
    <phoneticPr fontId="35" type="noConversion"/>
  </si>
  <si>
    <t>electricity</t>
    <phoneticPr fontId="35" type="noConversion"/>
  </si>
  <si>
    <t>coal</t>
    <phoneticPr fontId="35" type="noConversion"/>
  </si>
  <si>
    <t>natural gas</t>
    <phoneticPr fontId="35" type="noConversion"/>
  </si>
  <si>
    <t>biomass</t>
    <phoneticPr fontId="35" type="noConversion"/>
  </si>
  <si>
    <t>petroleum-diesel</t>
    <phoneticPr fontId="35" type="noConversion"/>
  </si>
  <si>
    <t>LPG-propane-butane</t>
    <phoneticPr fontId="35" type="noConversion"/>
  </si>
  <si>
    <t>hydrogen</t>
    <phoneticPr fontId="35" type="noConversion"/>
  </si>
  <si>
    <t>crude oil</t>
    <phoneticPr fontId="35" type="noConversion"/>
  </si>
  <si>
    <t>heat</t>
    <phoneticPr fontId="35" type="noConversion"/>
  </si>
  <si>
    <t>heavy-or-residual oil</t>
    <phoneticPr fontId="35" type="noConversion"/>
  </si>
  <si>
    <t>Note</t>
    <phoneticPr fontId="35" type="noConversion"/>
  </si>
  <si>
    <t>For further splits</t>
    <phoneticPr fontId="35" type="noConversion"/>
  </si>
  <si>
    <t>전망치 부재로 2019년 소비량에 KEEI 석탄 공급 BAU 성장률만큼 적용</t>
    <phoneticPr fontId="35" type="noConversion"/>
  </si>
  <si>
    <t>전망치 부재로 2019년 소비량에 KEEI 석유 공급 BAU 성장률만큼 적용</t>
    <phoneticPr fontId="35" type="noConversion"/>
  </si>
  <si>
    <t>전망치 부재로 2019년 소비량에 KEEI 가스 공급 BAU 성장률만큼 적용</t>
    <phoneticPr fontId="35" type="noConversion"/>
  </si>
  <si>
    <t>Steel Split</t>
    <phoneticPr fontId="35" type="noConversion"/>
  </si>
  <si>
    <t>Petrochemicals Split</t>
    <phoneticPr fontId="35" type="noConversion"/>
  </si>
  <si>
    <t>Non-ferrous Metals Split</t>
    <phoneticPr fontId="35" type="noConversion"/>
  </si>
  <si>
    <t>Machinery Split</t>
    <phoneticPr fontId="35" type="noConversion"/>
  </si>
  <si>
    <t>Others Split</t>
    <phoneticPr fontId="35" type="noConversion"/>
  </si>
  <si>
    <t>Petroleum split (based on 2019 Energy Balance)</t>
    <phoneticPr fontId="35" type="noConversion"/>
  </si>
  <si>
    <t>Industry split by fuel (based on 2019 KEA Energy Use Survey)</t>
    <phoneticPr fontId="35" type="noConversion"/>
  </si>
  <si>
    <t>https://kosis.kr/statHtml/statHtml.do?orgId=337&amp;tblId=DT_337_2019_H1017&amp;vw_cd=MT_ZTITLE&amp;list_id=337_33703_002&amp;seqNo=&amp;lang_mode=ko&amp;language=kor&amp;obj_var_id=&amp;itm_id=&amp;conn_path=MT_ZTITLE</t>
    <phoneticPr fontId="35" type="noConversion"/>
  </si>
  <si>
    <t>2019 KEA Energy Use Survey</t>
    <phoneticPr fontId="35" type="noConversion"/>
  </si>
  <si>
    <t>KESIS</t>
    <phoneticPr fontId="35" type="noConversion"/>
  </si>
  <si>
    <t>KEA</t>
    <phoneticPr fontId="35" type="noConversion"/>
  </si>
  <si>
    <t>합성고무및플라스틱물질제조업,고무제품제조업,플라스틱제품제조업</t>
    <phoneticPr fontId="35" type="noConversion"/>
  </si>
  <si>
    <t>기초화학물질제조업, 비료,농약및살균,살충제제조업, 기타화학제품제조업,화학섬유제조업,기초의약물질및생물학적제제제조업,의약품제조업,의료용품및기타의약관련제품제조업</t>
    <phoneticPr fontId="35" type="noConversion"/>
  </si>
  <si>
    <t>1차비철금속제조업</t>
    <phoneticPr fontId="35" type="noConversion"/>
  </si>
  <si>
    <t>금속주조업,구조용금속제품,탱크및증기발생기제조업,무기및총포탄제조업,기타금속가공제품제조업</t>
    <phoneticPr fontId="35" type="noConversion"/>
  </si>
  <si>
    <t>반도체제조업,전자부품제조업,컴퓨터및주변장치제조업,통신및방송장비제조업,영상및음향기기제조업</t>
    <phoneticPr fontId="35"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</si>
  <si>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5" type="noConversion"/>
  </si>
  <si>
    <t>전동기,발전기및전기변환공급제어장치제조업,일차전지및축전지제조업,절연선및케이블제조업,전구및조명장치제조업,가정용기기제조업,기타전기장비제조업</t>
    <phoneticPr fontId="35" type="noConversion"/>
  </si>
  <si>
    <t>자동차용엔진및자동차제조업,자동차차체및트레일러제조업,자동차신품부품제조업,자동차재제조부품제조업</t>
    <phoneticPr fontId="35" type="noConversion"/>
  </si>
  <si>
    <t>선박및보트건조업,철도장비제조업,항공기,우주선및부품제조업,그외기타운송장비제조업</t>
    <phoneticPr fontId="35" type="noConversion"/>
  </si>
  <si>
    <t>Machinery Total</t>
    <phoneticPr fontId="35" type="noConversion"/>
  </si>
  <si>
    <t>KESIS</t>
    <phoneticPr fontId="35" type="noConversion"/>
  </si>
  <si>
    <t>유리및유리제품제조업</t>
    <phoneticPr fontId="35" type="noConversion"/>
  </si>
  <si>
    <t>내화,비내화요업제품제조업,시멘트,석회,플라스터및그제품제조업,시멘트제조업,기타비금속광물제품제조업</t>
    <phoneticPr fontId="35" type="noConversion"/>
  </si>
  <si>
    <t>refined petroleum and coke 19</t>
    <phoneticPr fontId="35" type="noConversion"/>
  </si>
  <si>
    <t>LNG</t>
    <phoneticPr fontId="35" type="noConversion"/>
  </si>
  <si>
    <t>전력</t>
    <phoneticPr fontId="35" type="noConversion"/>
  </si>
  <si>
    <t>경유</t>
    <phoneticPr fontId="35" type="noConversion"/>
  </si>
  <si>
    <t>소각시설</t>
    <phoneticPr fontId="35" type="noConversion"/>
  </si>
  <si>
    <t xml:space="preserve"> 48톤/일 이상</t>
    <phoneticPr fontId="35" type="noConversion"/>
  </si>
  <si>
    <t xml:space="preserve"> 48톤/일 미만</t>
    <phoneticPr fontId="35" type="noConversion"/>
  </si>
  <si>
    <t xml:space="preserve"> 회분식</t>
    <phoneticPr fontId="35" type="noConversion"/>
  </si>
  <si>
    <t>매립시설</t>
    <phoneticPr fontId="35" type="noConversion"/>
  </si>
  <si>
    <t xml:space="preserve"> 20만m2 이상</t>
    <phoneticPr fontId="35" type="noConversion"/>
  </si>
  <si>
    <t xml:space="preserve"> 20만m2 미만</t>
    <phoneticPr fontId="35" type="noConversion"/>
  </si>
  <si>
    <t>생활자원회수센터</t>
    <phoneticPr fontId="35" type="noConversion"/>
  </si>
  <si>
    <t xml:space="preserve"> 20톤/일 이상</t>
    <phoneticPr fontId="35" type="noConversion"/>
  </si>
  <si>
    <t xml:space="preserve"> 20톤/일 미만</t>
    <phoneticPr fontId="35" type="noConversion"/>
  </si>
  <si>
    <t>음식물폐기물</t>
    <phoneticPr fontId="35" type="noConversion"/>
  </si>
  <si>
    <t xml:space="preserve"> 30톤/일 이상</t>
    <phoneticPr fontId="35" type="noConversion"/>
  </si>
  <si>
    <t xml:space="preserve"> 30톤/일 미만</t>
    <phoneticPr fontId="35" type="noConversion"/>
  </si>
  <si>
    <t>가연성폐기물 연료화</t>
    <phoneticPr fontId="35" type="noConversion"/>
  </si>
  <si>
    <t xml:space="preserve"> 100톤/일 이상</t>
    <phoneticPr fontId="35" type="noConversion"/>
  </si>
  <si>
    <t xml:space="preserve"> 100톤/일 미만</t>
    <phoneticPr fontId="35" type="noConversion"/>
  </si>
  <si>
    <t>유기성폐기물 바이오가스화</t>
    <phoneticPr fontId="35" type="noConversion"/>
  </si>
  <si>
    <t>Total</t>
    <phoneticPr fontId="35" type="noConversion"/>
  </si>
  <si>
    <t>에너지집약도(TOE/천톤)</t>
    <phoneticPr fontId="35" type="noConversion"/>
  </si>
  <si>
    <t>처리량(천톤)</t>
    <phoneticPr fontId="35" type="noConversion"/>
  </si>
  <si>
    <t>처리량(%)</t>
    <phoneticPr fontId="35" type="noConversion"/>
  </si>
  <si>
    <t>에너지사용량(TOE)</t>
    <phoneticPr fontId="35" type="noConversion"/>
  </si>
  <si>
    <t>추정</t>
    <phoneticPr fontId="35" type="noConversion"/>
  </si>
  <si>
    <t>생활자원회수센터와 같은 것으로 가정</t>
    <phoneticPr fontId="35" type="noConversion"/>
  </si>
  <si>
    <t>음식물폐기물처리와 같은 것으로 가정</t>
    <phoneticPr fontId="35" type="noConversion"/>
  </si>
  <si>
    <t>(천명)</t>
    <phoneticPr fontId="55" type="noConversion"/>
  </si>
  <si>
    <t>%YoY</t>
    <phoneticPr fontId="35" type="noConversion"/>
  </si>
  <si>
    <t>천TOE</t>
    <phoneticPr fontId="35"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</si>
  <si>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5" type="noConversion"/>
  </si>
  <si>
    <t>2018 폐기물/하수처리업 에너지총사용량 (출처: 에너지공단, 2019)</t>
    <phoneticPr fontId="35"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</si>
  <si>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5"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</si>
  <si>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5" type="noConversion"/>
  </si>
  <si>
    <t>전망치 부재로 2018년 소비량에 인구성장률만큼 적용</t>
    <phoneticPr fontId="35" type="noConversion"/>
  </si>
  <si>
    <t>http://www.kesis.net/crosseditor/binary/files/000003/20200408125915600_6PUNL17L.xlsb</t>
    <phoneticPr fontId="35" type="noConversion"/>
  </si>
  <si>
    <t>Korea Energy Statistics Information System</t>
    <phoneticPr fontId="35" type="noConversion"/>
  </si>
  <si>
    <t>KEEI Long-tern energy forecast</t>
    <phoneticPr fontId="35" type="noConversion"/>
  </si>
  <si>
    <t>Extended energy balance</t>
    <phoneticPr fontId="35" type="noConversion"/>
  </si>
  <si>
    <t>KOSIS</t>
    <phoneticPr fontId="35" type="noConversion"/>
  </si>
  <si>
    <t>KEA Energy consumption and greenhouse-gas emission inventories</t>
    <phoneticPr fontId="35" type="noConversion"/>
  </si>
  <si>
    <t>Industry Category Mapping (in English)</t>
    <phoneticPr fontId="35" type="noConversion"/>
  </si>
  <si>
    <t>Industry Category Mapping (in Korean)</t>
    <phoneticPr fontId="35"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</si>
  <si>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</si>
  <si>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</si>
  <si>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</si>
  <si>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</si>
  <si>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</si>
  <si>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</si>
  <si>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</si>
  <si>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</si>
  <si>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</si>
  <si>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</si>
  <si>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5" type="noConversion"/>
  </si>
  <si>
    <t>EndUse&gt;Industry&gt;chemical and Petro-chemical</t>
  </si>
  <si>
    <t>EndUse&gt;Industry&gt;transportation equiment</t>
  </si>
  <si>
    <t>EndUse&gt;Industry&gt;other manufacturing</t>
    <phoneticPr fontId="35" type="noConversion"/>
  </si>
  <si>
    <t>conversion process&gt;gas process
Energy Industry internal consumption&gt;gas process</t>
    <phoneticPr fontId="35" type="noConversion"/>
  </si>
  <si>
    <t>EndUse&gt;Industry&gt;construction</t>
    <phoneticPr fontId="35" type="noConversion"/>
  </si>
  <si>
    <t>EndUse&gt;Industry&gt;agriculture and fishery</t>
    <phoneticPr fontId="35" type="noConversion"/>
  </si>
  <si>
    <t>Energy Industry internal consumption&gt;coal mining</t>
    <phoneticPr fontId="35" type="noConversion"/>
  </si>
  <si>
    <t>Energy Industry internal consumption&gt;crude petroleum and natural gas production</t>
    <phoneticPr fontId="35" type="noConversion"/>
  </si>
  <si>
    <t>EndUse&gt;Industry&gt;mining(exc. Coal mining)</t>
    <phoneticPr fontId="35" type="noConversion"/>
  </si>
  <si>
    <t>EndUse&gt;Industry&gt;food and tobacco</t>
    <phoneticPr fontId="35"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</si>
  <si>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</si>
  <si>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</si>
  <si>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5" type="noConversion"/>
  </si>
  <si>
    <t xml:space="preserve">Industry&gt;other </t>
  </si>
  <si>
    <t>Synthetic rubber and plastic material manufacturing, rubber product manufacturing, plastic product manufacturing</t>
    <phoneticPr fontId="35" type="noConversion"/>
  </si>
  <si>
    <t>Glass and glassware manufacturing</t>
    <phoneticPr fontId="35" type="noConversion"/>
  </si>
  <si>
    <t>Refractory and non-refractory ceramic products manufacturing business, cement, lime, plaster and its products manufacturing business, cement manufacturing business, other non-metallic minerals product manufacturing business</t>
    <phoneticPr fontId="35" type="noConversion"/>
  </si>
  <si>
    <t>Primary non-ferrous metals manufacturing</t>
    <phoneticPr fontId="35" type="noConversion"/>
  </si>
  <si>
    <t>Metal Foundry, Structural Metal Products, Tank and Steam Generator Manufacturing, Weapons and Gun Ammunition Manufacturing, other Metalworking Products Manufacturing</t>
    <phoneticPr fontId="35"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</si>
  <si>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5"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</si>
  <si>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5"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</si>
  <si>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5" type="noConversion"/>
  </si>
  <si>
    <t>Automobile engine and automobile manufacturing business, automobile body and trailer manufacturing business, new automobile parts manufacturing business, automobile remanufactured parts manufacturing business</t>
    <phoneticPr fontId="35" type="noConversion"/>
  </si>
  <si>
    <t>Ship and boat construction business, railway equipment manufacturing business, aircraft, spaceship and parts manufacturing business, and other transportation equipment manufacturing business</t>
    <phoneticPr fontId="35" type="noConversion"/>
  </si>
  <si>
    <t>renewables</t>
    <phoneticPr fontId="35" type="noConversion"/>
  </si>
  <si>
    <t>oil</t>
    <phoneticPr fontId="35" type="noConversion"/>
  </si>
  <si>
    <t>due to the lack of forecast, we applied the KEEI's BAU oil supply growth rate to the demand in 2019</t>
    <phoneticPr fontId="35" type="noConversion"/>
  </si>
  <si>
    <t>due to the lack of forecast, we applied the KEEI's BAU coal supply growth rate to the demand in 2019</t>
    <phoneticPr fontId="35" type="noConversion"/>
  </si>
  <si>
    <t>due to the lack of forecast, we applied the KEEI's BAU gas supply growth rate to the demand in 2019</t>
    <phoneticPr fontId="35" type="noConversion"/>
  </si>
  <si>
    <t>due to the lack of forecast, we applied the population growth rate to the demand in 2018</t>
    <phoneticPr fontId="35" type="noConversion"/>
  </si>
  <si>
    <t>include waste</t>
    <phoneticPr fontId="35" type="noConversion"/>
  </si>
  <si>
    <t>due to the lack of forecast, we applied the energy demand growth rate between 2020 and 2050 to the demand in 2019</t>
    <phoneticPr fontId="35" type="noConversion"/>
  </si>
  <si>
    <t>We estimated using the energy consumption share by industry based on 2019 KESIS Energy Balance</t>
    <phoneticPr fontId="35" type="noConversion"/>
  </si>
  <si>
    <t>petroleum refining only</t>
    <phoneticPr fontId="35" type="noConversion"/>
  </si>
  <si>
    <t>Sub category</t>
    <phoneticPr fontId="35" type="noConversion"/>
  </si>
  <si>
    <t>EndUse&gt;Industry&gt;wood and wood products</t>
    <phoneticPr fontId="35" type="noConversion"/>
  </si>
  <si>
    <t>EndUse&gt;Industry&gt;paper and printing</t>
    <phoneticPr fontId="35"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</si>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</sst>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1" formatCode="_-* #,##0_-;\-* #,##0_-;_-* &quot;-&quot;_-;_-@_-"/>
    <numFmt numFmtId="176" formatCode="_(* #,##0.00_);_(* \(#,##0.00\);_(* &quot;-&quot;??_);_(@_)"/>
    <numFmt numFmtId="177" formatCode="#,##0.0"/>
    <numFmt numFmtId="178" formatCode="0.000E+00"/>
    <numFmt numFmtId="179" formatCode="#,##0.00000"/>
    <numFmt numFmtId="180" formatCode="#\ ##0"/>
    <numFmt numFmtId="181" formatCode="#\ ##0.00"/>
    <numFmt numFmtId="182" formatCode="#\ ##0;\-#\ ##0;\-"/>
    <numFmt numFmtId="183" formatCode="#\ ##0.0"/>
    <numFmt numFmtId="184" formatCode="#\ ##0.0;\-#\ ##0.0;\-"/>
    <numFmt numFmtId="185" formatCode="_ * #,##0.0_ ;_ * \-#,##0.0_ ;_ * &quot;-&quot;_ ;_ @_ "/>
    <numFmt numFmtId="186" formatCode="_ * #,##0_ ;_ * \-#,##0_ ;_ * &quot;-&quot;_ ;_ @_ "/>
    <numFmt numFmtId="187" formatCode="_-* #,##0.00_-;\-* #,##0.00_-;_-* &quot;-&quot;_-;_-@_-"/>
    <numFmt numFmtId="188" formatCode="0_);[Red]\(0\)"/>
    <numFmt numFmtId="189" formatCode="0.E+00"/>
    <numFmt numFmtId="190" formatCode="0.0%"/>
    <numFmt numFmtId="191" formatCode="_-* #,##0.00000000000_-;\-* #,##0.00000000000_-;_-* &quot;-&quot;_-;_-@_-"/>
  </numFmts>
  <fonts count="84">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b/>
      <sz val="11"/>
      <color theme="1"/>
      <name val="맑은 고딕"/>
      <family val="2"/>
      <scheme val="minor"/>
    </font>
    <font>
      <b/>
      <sz val="9"/>
      <color theme="1"/>
      <name val="맑은 고딕"/>
      <family val="2"/>
      <scheme val="minor"/>
    </font>
    <font>
      <sz val="9"/>
      <color theme="1"/>
      <name val="맑은 고딕"/>
      <family val="2"/>
      <scheme val="minor"/>
    </font>
    <font>
      <u/>
      <sz val="10"/>
      <color theme="4"/>
      <name val="맑은 고딕"/>
      <family val="2"/>
      <scheme val="minor"/>
    </font>
    <font>
      <u/>
      <sz val="11"/>
      <color theme="6"/>
      <name val="Calibri"/>
      <family val="2"/>
    </font>
    <font>
      <b/>
      <sz val="12"/>
      <color theme="4"/>
      <name val="맑은 고딕"/>
      <family val="2"/>
      <scheme val="minor"/>
    </font>
    <font>
      <sz val="9"/>
      <color rgb="FF000000"/>
      <name val="Calibri"/>
      <family val="2"/>
    </font>
    <font>
      <sz val="11"/>
      <color theme="1"/>
      <name val="맑은 고딕"/>
      <family val="2"/>
      <scheme val="minor"/>
    </font>
    <font>
      <sz val="12"/>
      <name val="Helv"/>
    </font>
    <font>
      <b/>
      <sz val="9"/>
      <color indexed="8"/>
      <name val="Calibri"/>
      <family val="2"/>
    </font>
    <font>
      <sz val="11"/>
      <color rgb="FFFF0000"/>
      <name val="맑은 고딕"/>
      <family val="2"/>
      <scheme val="minor"/>
    </font>
    <font>
      <sz val="9"/>
      <color indexed="8"/>
      <name val="Calibri"/>
      <family val="2"/>
    </font>
    <font>
      <sz val="10"/>
      <color indexed="8"/>
      <name val="Arial"/>
      <family val="2"/>
    </font>
    <font>
      <b/>
      <sz val="12"/>
      <color indexed="30"/>
      <name val="Calibri"/>
      <family val="2"/>
    </font>
    <font>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i/>
      <sz val="11"/>
      <color rgb="FF7F7F7F"/>
      <name val="맑은 고딕"/>
      <family val="2"/>
      <scheme val="minor"/>
    </font>
    <font>
      <sz val="11"/>
      <color theme="0"/>
      <name val="맑은 고딕"/>
      <family val="2"/>
      <scheme val="minor"/>
    </font>
    <font>
      <sz val="11"/>
      <color rgb="FF9C6500"/>
      <name val="맑은 고딕"/>
      <family val="2"/>
      <scheme val="minor"/>
    </font>
    <font>
      <i/>
      <sz val="11"/>
      <color theme="1"/>
      <name val="맑은 고딕"/>
      <family val="2"/>
      <scheme val="minor"/>
    </font>
    <font>
      <sz val="10"/>
      <color theme="1"/>
      <name val="Calibri"/>
      <family val="2"/>
    </font>
    <font>
      <sz val="8"/>
      <name val="맑은 고딕"/>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맑은 고딕"/>
      <family val="3"/>
      <charset val="129"/>
      <scheme val="minor"/>
    </font>
    <font>
      <b/>
      <sz val="7.5"/>
      <color theme="0"/>
      <name val="맑은 고딕"/>
      <family val="2"/>
      <scheme val="minor"/>
    </font>
    <font>
      <b/>
      <sz val="8"/>
      <color theme="0"/>
      <name val="맑은 고딕"/>
      <family val="3"/>
      <charset val="129"/>
    </font>
    <font>
      <b/>
      <sz val="1"/>
      <color theme="0"/>
      <name val="맑은 고딕"/>
      <family val="2"/>
      <scheme val="minor"/>
    </font>
    <font>
      <b/>
      <sz val="8"/>
      <color theme="0"/>
      <name val="맑은 고딕"/>
      <family val="2"/>
      <scheme val="minor"/>
    </font>
    <font>
      <b/>
      <sz val="7"/>
      <color theme="1"/>
      <name val="맑은 고딕"/>
      <family val="3"/>
      <charset val="129"/>
    </font>
    <font>
      <b/>
      <sz val="7.5"/>
      <color theme="1"/>
      <name val="맑은 고딕"/>
      <family val="2"/>
      <scheme val="minor"/>
    </font>
    <font>
      <sz val="8"/>
      <color theme="1"/>
      <name val="맑은 고딕"/>
      <family val="3"/>
      <charset val="129"/>
      <scheme val="minor"/>
    </font>
    <font>
      <sz val="1"/>
      <color theme="1"/>
      <name val="맑은 고딕"/>
      <family val="3"/>
      <charset val="129"/>
      <scheme val="minor"/>
    </font>
    <font>
      <sz val="7.5"/>
      <color theme="1"/>
      <name val="맑은 고딕"/>
      <family val="2"/>
      <scheme val="minor"/>
    </font>
    <font>
      <sz val="1"/>
      <color theme="1"/>
      <name val="맑은 고딕"/>
      <family val="2"/>
      <scheme val="minor"/>
    </font>
    <font>
      <sz val="1"/>
      <color theme="1"/>
      <name val="맑은 고딕"/>
      <family val="3"/>
      <charset val="129"/>
    </font>
    <font>
      <sz val="1"/>
      <color theme="1"/>
      <name val="맑은 고딕"/>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맑은 고딕"/>
      <family val="2"/>
      <charset val="129"/>
      <scheme val="minor"/>
    </font>
    <font>
      <b/>
      <sz val="7.5"/>
      <color indexed="8"/>
      <name val="맑은 고딕"/>
      <family val="2"/>
      <scheme val="minor"/>
    </font>
    <font>
      <b/>
      <sz val="1"/>
      <color indexed="8"/>
      <name val="맑은 고딕"/>
      <family val="2"/>
      <scheme val="minor"/>
    </font>
    <font>
      <b/>
      <sz val="1"/>
      <color theme="1"/>
      <name val="맑은 고딕"/>
      <family val="2"/>
      <scheme val="minor"/>
    </font>
    <font>
      <sz val="7"/>
      <color theme="1"/>
      <name val="HY견고딕"/>
      <family val="1"/>
      <charset val="129"/>
    </font>
    <font>
      <sz val="7.5"/>
      <color indexed="8"/>
      <name val="맑은 고딕"/>
      <family val="2"/>
      <scheme val="minor"/>
    </font>
    <font>
      <sz val="11"/>
      <color theme="1"/>
      <name val="맑은 고딕"/>
      <family val="2"/>
      <charset val="129"/>
    </font>
    <font>
      <sz val="10"/>
      <name val="맑은 고딕"/>
      <family val="2"/>
      <charset val="129"/>
      <scheme val="minor"/>
    </font>
    <font>
      <b/>
      <sz val="10"/>
      <name val="맑은 고딕"/>
      <family val="2"/>
      <scheme val="minor"/>
    </font>
    <font>
      <sz val="10"/>
      <name val="Calibri"/>
      <family val="2"/>
    </font>
    <font>
      <sz val="10"/>
      <name val="맑은 고딕"/>
      <family val="2"/>
      <scheme val="minor"/>
    </font>
    <font>
      <sz val="11"/>
      <color theme="1"/>
      <name val="Calibri"/>
      <family val="2"/>
    </font>
    <font>
      <sz val="11"/>
      <color theme="1"/>
      <name val="맑은 고딕"/>
      <family val="3"/>
      <charset val="129"/>
    </font>
    <font>
      <sz val="11"/>
      <color theme="1"/>
      <name val="Calibri"/>
      <family val="2"/>
      <charset val="129"/>
    </font>
    <font>
      <b/>
      <sz val="10"/>
      <name val="맑은 고딕"/>
      <family val="3"/>
      <charset val="129"/>
      <scheme val="minor"/>
    </font>
    <font>
      <b/>
      <sz val="11"/>
      <color theme="1"/>
      <name val="Calibri"/>
      <family val="2"/>
    </font>
    <font>
      <sz val="7"/>
      <color theme="1"/>
      <name val="맑은 고딕"/>
      <family val="2"/>
      <scheme val="minor"/>
    </font>
    <font>
      <sz val="7"/>
      <color theme="1"/>
      <name val="맑은 고딕"/>
      <family val="3"/>
      <charset val="129"/>
      <scheme val="minor"/>
    </font>
    <font>
      <sz val="7.5"/>
      <color theme="1"/>
      <name val="맑은 고딕"/>
      <family val="2"/>
      <charset val="129"/>
      <scheme val="minor"/>
    </font>
    <font>
      <sz val="7.5"/>
      <color theme="1"/>
      <name val="맑은 고딕"/>
      <family val="3"/>
      <charset val="129"/>
    </font>
    <font>
      <sz val="7.5"/>
      <color theme="1"/>
      <name val="맑은 고딕"/>
      <family val="3"/>
      <charset val="129"/>
      <scheme val="minor"/>
    </font>
    <font>
      <b/>
      <sz val="7.5"/>
      <color theme="1"/>
      <name val="맑은 고딕"/>
      <family val="3"/>
      <charset val="129"/>
    </font>
    <font>
      <b/>
      <sz val="8"/>
      <color theme="1"/>
      <name val="맑은 고딕"/>
      <family val="2"/>
      <scheme val="minor"/>
    </font>
    <font>
      <b/>
      <sz val="7.5"/>
      <color theme="1"/>
      <name val="맑은 고딕"/>
      <family val="3"/>
      <charset val="129"/>
      <scheme val="minor"/>
    </font>
    <font>
      <b/>
      <sz val="11"/>
      <color theme="1"/>
      <name val="맑은 고딕"/>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90">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8"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9" fillId="0" borderId="0" applyNumberFormat="0" applyFill="0" applyBorder="0" applyAlignment="0" applyProtection="0"/>
    <xf numFmtId="0" fontId="20" fillId="0" borderId="1" applyNumberFormat="0" applyFill="0" applyAlignment="0" applyProtection="0"/>
    <xf numFmtId="0" fontId="21" fillId="0" borderId="12" applyNumberFormat="0" applyFill="0" applyAlignment="0" applyProtection="0"/>
    <xf numFmtId="0" fontId="22" fillId="0" borderId="13" applyNumberFormat="0" applyFill="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7" borderId="14" applyNumberFormat="0" applyAlignment="0" applyProtection="0"/>
    <xf numFmtId="0" fontId="26" fillId="8" borderId="15" applyNumberFormat="0" applyAlignment="0" applyProtection="0"/>
    <xf numFmtId="0" fontId="27" fillId="8" borderId="14" applyNumberFormat="0" applyAlignment="0" applyProtection="0"/>
    <xf numFmtId="0" fontId="28" fillId="0" borderId="16" applyNumberFormat="0" applyFill="0" applyAlignment="0" applyProtection="0"/>
    <xf numFmtId="0" fontId="29"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31"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1"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1"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1"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1"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1"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2" fillId="6" borderId="0" applyNumberFormat="0" applyBorder="0" applyAlignment="0" applyProtection="0"/>
    <xf numFmtId="0" fontId="31" fillId="14" borderId="0" applyNumberFormat="0" applyBorder="0" applyAlignment="0" applyProtection="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4" fillId="0" borderId="0"/>
    <xf numFmtId="0" fontId="12" fillId="0" borderId="0"/>
    <xf numFmtId="0" fontId="17" fillId="0" borderId="0"/>
    <xf numFmtId="0" fontId="12" fillId="0" borderId="0"/>
    <xf numFmtId="176" fontId="34" fillId="0" borderId="0" applyFont="0" applyFill="0" applyBorder="0" applyAlignment="0" applyProtection="0"/>
    <xf numFmtId="41" fontId="12" fillId="0" borderId="0" applyFont="0" applyFill="0" applyBorder="0" applyAlignment="0" applyProtection="0">
      <alignment vertical="center"/>
    </xf>
    <xf numFmtId="0" fontId="4" fillId="0" borderId="0"/>
    <xf numFmtId="0" fontId="39" fillId="0" borderId="0">
      <alignment vertical="center"/>
    </xf>
    <xf numFmtId="0" fontId="2" fillId="0" borderId="0"/>
    <xf numFmtId="0" fontId="1" fillId="0" borderId="0"/>
  </cellStyleXfs>
  <cellXfs count="478">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77" fontId="0" fillId="0" borderId="2" xfId="2" applyNumberFormat="1" applyFont="1" applyFill="1" applyAlignment="1">
      <alignment horizontal="right" wrapText="1"/>
    </xf>
    <xf numFmtId="0" fontId="14" fillId="0" borderId="9" xfId="5" applyFont="1" applyFill="1" applyBorder="1" applyAlignment="1">
      <alignment wrapText="1"/>
    </xf>
    <xf numFmtId="177"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78"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79"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3"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6" applyFill="1"/>
    <xf numFmtId="0" fontId="40" fillId="37" borderId="0" xfId="87" applyFont="1" applyFill="1" applyBorder="1" applyAlignment="1">
      <alignment vertical="center" wrapText="1"/>
    </xf>
    <xf numFmtId="0" fontId="41" fillId="37" borderId="0" xfId="87" applyFont="1" applyFill="1" applyBorder="1" applyAlignment="1">
      <alignment horizontal="centerContinuous" vertical="center" wrapText="1"/>
    </xf>
    <xf numFmtId="0" fontId="42" fillId="37" borderId="0" xfId="87" applyFont="1" applyFill="1" applyBorder="1" applyAlignment="1">
      <alignment vertical="center" wrapText="1"/>
    </xf>
    <xf numFmtId="0" fontId="43" fillId="37" borderId="0" xfId="87" applyFont="1" applyFill="1" applyBorder="1" applyAlignment="1">
      <alignment vertical="center" wrapText="1"/>
    </xf>
    <xf numFmtId="0" fontId="43" fillId="37" borderId="0" xfId="87" applyFont="1" applyFill="1" applyBorder="1" applyAlignment="1">
      <alignment horizontal="center" vertical="center" wrapText="1"/>
    </xf>
    <xf numFmtId="0" fontId="42" fillId="37" borderId="0" xfId="87" applyFont="1" applyFill="1" applyBorder="1" applyAlignment="1">
      <alignment horizontal="center" vertical="center" wrapText="1"/>
    </xf>
    <xf numFmtId="0" fontId="44" fillId="36" borderId="0" xfId="87" applyFont="1" applyFill="1" applyBorder="1" applyAlignment="1">
      <alignment vertical="center" wrapText="1"/>
    </xf>
    <xf numFmtId="180" fontId="45" fillId="38" borderId="0" xfId="87" applyNumberFormat="1" applyFont="1" applyFill="1" applyBorder="1" applyAlignment="1">
      <alignment horizontal="right" vertical="center" wrapText="1"/>
    </xf>
    <xf numFmtId="180" fontId="45" fillId="36" borderId="0" xfId="87" applyNumberFormat="1" applyFont="1" applyFill="1" applyBorder="1" applyAlignment="1">
      <alignment horizontal="right" vertical="center" wrapText="1"/>
    </xf>
    <xf numFmtId="181" fontId="46" fillId="36" borderId="0" xfId="87" applyNumberFormat="1" applyFont="1" applyFill="1" applyBorder="1" applyAlignment="1">
      <alignment horizontal="right" vertical="center" wrapText="1"/>
    </xf>
    <xf numFmtId="181" fontId="47" fillId="36" borderId="0" xfId="87" applyNumberFormat="1" applyFont="1" applyFill="1" applyBorder="1" applyAlignment="1">
      <alignment horizontal="right" vertical="center" wrapText="1"/>
    </xf>
    <xf numFmtId="0" fontId="38" fillId="36" borderId="0" xfId="87" applyFont="1" applyFill="1" applyBorder="1" applyAlignment="1">
      <alignment horizontal="left" vertical="center" wrapText="1" indent="1"/>
    </xf>
    <xf numFmtId="182" fontId="48" fillId="38" borderId="0" xfId="87" applyNumberFormat="1" applyFont="1" applyFill="1" applyBorder="1" applyAlignment="1">
      <alignment horizontal="right" vertical="center" wrapText="1"/>
    </xf>
    <xf numFmtId="182" fontId="48" fillId="36" borderId="0" xfId="87" applyNumberFormat="1" applyFont="1" applyFill="1" applyBorder="1" applyAlignment="1">
      <alignment horizontal="right" vertical="center" wrapText="1"/>
    </xf>
    <xf numFmtId="180" fontId="48" fillId="36" borderId="0" xfId="87" applyNumberFormat="1" applyFont="1" applyFill="1" applyBorder="1" applyAlignment="1">
      <alignment horizontal="right" vertical="center" wrapText="1"/>
    </xf>
    <xf numFmtId="181" fontId="49" fillId="36" borderId="0" xfId="87" applyNumberFormat="1" applyFont="1" applyFill="1" applyBorder="1" applyAlignment="1">
      <alignment horizontal="right" vertical="center" wrapText="1"/>
    </xf>
    <xf numFmtId="183" fontId="48" fillId="36" borderId="0" xfId="87" applyNumberFormat="1" applyFont="1" applyFill="1" applyBorder="1" applyAlignment="1">
      <alignment horizontal="right" vertical="center" wrapText="1"/>
    </xf>
    <xf numFmtId="0" fontId="38" fillId="36" borderId="0" xfId="87" applyFont="1" applyFill="1" applyBorder="1" applyAlignment="1">
      <alignment horizontal="left" vertical="center" wrapText="1" indent="2"/>
    </xf>
    <xf numFmtId="0" fontId="38" fillId="36" borderId="21" xfId="87" applyFont="1" applyFill="1" applyBorder="1" applyAlignment="1">
      <alignment horizontal="left" vertical="center" wrapText="1" indent="2"/>
    </xf>
    <xf numFmtId="0" fontId="50" fillId="36" borderId="22" xfId="87" applyFont="1" applyFill="1" applyBorder="1" applyAlignment="1">
      <alignment vertical="center" wrapText="1"/>
    </xf>
    <xf numFmtId="180" fontId="49" fillId="38" borderId="22" xfId="87" applyNumberFormat="1" applyFont="1" applyFill="1" applyBorder="1" applyAlignment="1">
      <alignment horizontal="right" vertical="center" wrapText="1"/>
    </xf>
    <xf numFmtId="180" fontId="49" fillId="36" borderId="22" xfId="87" applyNumberFormat="1" applyFont="1" applyFill="1" applyBorder="1" applyAlignment="1">
      <alignment horizontal="right" vertical="center" wrapText="1"/>
    </xf>
    <xf numFmtId="181" fontId="49" fillId="36" borderId="22" xfId="87" applyNumberFormat="1" applyFont="1" applyFill="1" applyBorder="1" applyAlignment="1">
      <alignment horizontal="right" vertical="center" wrapText="1"/>
    </xf>
    <xf numFmtId="183" fontId="49" fillId="36" borderId="22" xfId="87" applyNumberFormat="1" applyFont="1" applyFill="1" applyBorder="1" applyAlignment="1">
      <alignment horizontal="right" vertical="center" wrapText="1"/>
    </xf>
    <xf numFmtId="0" fontId="51" fillId="36" borderId="0" xfId="86" applyFont="1" applyFill="1"/>
    <xf numFmtId="182" fontId="48" fillId="38" borderId="21" xfId="87" applyNumberFormat="1" applyFont="1" applyFill="1" applyBorder="1" applyAlignment="1">
      <alignment horizontal="right" vertical="center" wrapText="1"/>
    </xf>
    <xf numFmtId="181" fontId="47" fillId="36" borderId="21" xfId="87" applyNumberFormat="1" applyFont="1" applyFill="1" applyBorder="1" applyAlignment="1">
      <alignment horizontal="right" vertical="center" wrapText="1"/>
    </xf>
    <xf numFmtId="0" fontId="4" fillId="36" borderId="0" xfId="86" applyFill="1" applyAlignment="1">
      <alignment horizontal="right" indent="1"/>
    </xf>
    <xf numFmtId="0" fontId="51" fillId="36" borderId="0" xfId="86" applyFont="1" applyFill="1" applyAlignment="1">
      <alignment horizontal="right" indent="1"/>
    </xf>
    <xf numFmtId="181" fontId="48" fillId="36" borderId="0" xfId="87" applyNumberFormat="1" applyFont="1" applyFill="1" applyBorder="1" applyAlignment="1">
      <alignment horizontal="right" vertical="center" wrapText="1"/>
    </xf>
    <xf numFmtId="182" fontId="56" fillId="38" borderId="0" xfId="87" applyNumberFormat="1" applyFont="1" applyFill="1" applyBorder="1" applyAlignment="1">
      <alignment horizontal="right" vertical="center" wrapText="1"/>
    </xf>
    <xf numFmtId="182" fontId="56" fillId="36" borderId="0" xfId="87" applyNumberFormat="1" applyFont="1" applyFill="1" applyBorder="1" applyAlignment="1">
      <alignment horizontal="right" vertical="center" wrapText="1"/>
    </xf>
    <xf numFmtId="180" fontId="56" fillId="36" borderId="0" xfId="87" applyNumberFormat="1" applyFont="1" applyFill="1" applyBorder="1" applyAlignment="1">
      <alignment horizontal="right" vertical="center" wrapText="1"/>
    </xf>
    <xf numFmtId="183" fontId="57" fillId="36" borderId="0" xfId="87" applyNumberFormat="1" applyFont="1" applyFill="1" applyBorder="1" applyAlignment="1">
      <alignment horizontal="right" vertical="center" wrapText="1"/>
    </xf>
    <xf numFmtId="183" fontId="56" fillId="36" borderId="0" xfId="87" applyNumberFormat="1" applyFont="1" applyFill="1" applyBorder="1" applyAlignment="1">
      <alignment horizontal="right" vertical="center" wrapText="1"/>
    </xf>
    <xf numFmtId="183" fontId="49" fillId="36" borderId="0" xfId="87" applyNumberFormat="1" applyFont="1" applyFill="1" applyBorder="1" applyAlignment="1">
      <alignment horizontal="right" vertical="center" wrapText="1"/>
    </xf>
    <xf numFmtId="182" fontId="45" fillId="38" borderId="0" xfId="87" applyNumberFormat="1" applyFont="1" applyFill="1" applyBorder="1" applyAlignment="1">
      <alignment horizontal="right" vertical="center" wrapText="1"/>
    </xf>
    <xf numFmtId="182" fontId="45" fillId="36" borderId="0" xfId="87" applyNumberFormat="1" applyFont="1" applyFill="1" applyBorder="1" applyAlignment="1">
      <alignment horizontal="right" vertical="center" wrapText="1"/>
    </xf>
    <xf numFmtId="180" fontId="48" fillId="36" borderId="0" xfId="87" applyNumberFormat="1" applyFont="1" applyFill="1" applyBorder="1" applyAlignment="1">
      <alignment horizontal="right" vertical="center" wrapText="1" indent="1"/>
    </xf>
    <xf numFmtId="183" fontId="49" fillId="36" borderId="0" xfId="87" applyNumberFormat="1" applyFont="1" applyFill="1" applyBorder="1" applyAlignment="1">
      <alignment horizontal="right" vertical="center" wrapText="1" indent="1"/>
    </xf>
    <xf numFmtId="183" fontId="48" fillId="36" borderId="0" xfId="87" applyNumberFormat="1" applyFont="1" applyFill="1" applyBorder="1" applyAlignment="1">
      <alignment horizontal="right" vertical="center" wrapText="1" indent="1"/>
    </xf>
    <xf numFmtId="184" fontId="45" fillId="38" borderId="0" xfId="87" applyNumberFormat="1" applyFont="1" applyFill="1" applyBorder="1" applyAlignment="1">
      <alignment horizontal="right" vertical="center" wrapText="1"/>
    </xf>
    <xf numFmtId="184" fontId="45" fillId="36" borderId="0" xfId="87" applyNumberFormat="1" applyFont="1" applyFill="1" applyBorder="1" applyAlignment="1">
      <alignment horizontal="right" vertical="center" wrapText="1"/>
    </xf>
    <xf numFmtId="181" fontId="58" fillId="36" borderId="0" xfId="87" applyNumberFormat="1" applyFont="1" applyFill="1" applyBorder="1" applyAlignment="1">
      <alignment horizontal="right" vertical="center" wrapText="1"/>
    </xf>
    <xf numFmtId="183" fontId="45" fillId="36" borderId="0" xfId="87" applyNumberFormat="1" applyFont="1" applyFill="1" applyBorder="1" applyAlignment="1">
      <alignment horizontal="right" vertical="center" wrapText="1"/>
    </xf>
    <xf numFmtId="184" fontId="48" fillId="38" borderId="0" xfId="87" applyNumberFormat="1" applyFont="1" applyFill="1" applyBorder="1" applyAlignment="1">
      <alignment horizontal="right" vertical="center" wrapText="1"/>
    </xf>
    <xf numFmtId="184" fontId="48" fillId="36" borderId="0" xfId="87" applyNumberFormat="1" applyFont="1" applyFill="1" applyBorder="1" applyAlignment="1">
      <alignment horizontal="right" vertical="center" wrapText="1"/>
    </xf>
    <xf numFmtId="181" fontId="48" fillId="38" borderId="0" xfId="87" applyNumberFormat="1" applyFont="1" applyFill="1" applyBorder="1" applyAlignment="1">
      <alignment horizontal="right" vertical="center" wrapText="1"/>
    </xf>
    <xf numFmtId="181" fontId="49" fillId="36" borderId="0" xfId="87" applyNumberFormat="1" applyFont="1" applyFill="1" applyBorder="1" applyAlignment="1">
      <alignment horizontal="right" vertical="center" wrapText="1" indent="1"/>
    </xf>
    <xf numFmtId="0" fontId="44" fillId="36" borderId="0" xfId="87" applyFont="1" applyFill="1" applyBorder="1" applyAlignment="1">
      <alignment horizontal="left" vertical="center" wrapText="1"/>
    </xf>
    <xf numFmtId="180" fontId="60" fillId="36" borderId="0" xfId="87" applyNumberFormat="1" applyFont="1" applyFill="1" applyBorder="1" applyAlignment="1">
      <alignment horizontal="right" vertical="center" wrapText="1"/>
    </xf>
    <xf numFmtId="181" fontId="57" fillId="36" borderId="0" xfId="87" applyNumberFormat="1" applyFont="1" applyFill="1" applyBorder="1" applyAlignment="1">
      <alignment horizontal="right" vertical="center" wrapText="1"/>
    </xf>
    <xf numFmtId="180" fontId="48" fillId="38" borderId="0" xfId="87" applyNumberFormat="1" applyFont="1" applyFill="1" applyBorder="1" applyAlignment="1">
      <alignment horizontal="right" vertical="center" wrapText="1"/>
    </xf>
    <xf numFmtId="0" fontId="50" fillId="36" borderId="24" xfId="87" applyFont="1" applyFill="1" applyBorder="1" applyAlignment="1">
      <alignment vertical="center" wrapText="1"/>
    </xf>
    <xf numFmtId="180" fontId="49" fillId="38" borderId="24" xfId="87" applyNumberFormat="1" applyFont="1" applyFill="1" applyBorder="1" applyAlignment="1">
      <alignment horizontal="right" vertical="center" wrapText="1"/>
    </xf>
    <xf numFmtId="180" fontId="49" fillId="36" borderId="24" xfId="87" applyNumberFormat="1" applyFont="1" applyFill="1" applyBorder="1" applyAlignment="1">
      <alignment horizontal="right" vertical="center" wrapText="1"/>
    </xf>
    <xf numFmtId="181" fontId="47" fillId="36" borderId="24" xfId="87" applyNumberFormat="1" applyFont="1" applyFill="1" applyBorder="1" applyAlignment="1">
      <alignment horizontal="right" vertical="center" wrapText="1"/>
    </xf>
    <xf numFmtId="0" fontId="33" fillId="0" borderId="0" xfId="0" applyFont="1" applyFill="1"/>
    <xf numFmtId="0" fontId="62" fillId="35" borderId="0" xfId="87" applyFont="1" applyFill="1">
      <alignment vertical="center"/>
    </xf>
    <xf numFmtId="185" fontId="65" fillId="35" borderId="0" xfId="87" applyNumberFormat="1" applyFont="1" applyFill="1">
      <alignment vertical="center"/>
    </xf>
    <xf numFmtId="186" fontId="62" fillId="35" borderId="0" xfId="87" applyNumberFormat="1" applyFont="1" applyFill="1">
      <alignment vertical="center"/>
    </xf>
    <xf numFmtId="0" fontId="62" fillId="35" borderId="0" xfId="0" applyFont="1" applyFill="1" applyAlignment="1">
      <alignment horizontal="left" vertical="center" indent="3"/>
    </xf>
    <xf numFmtId="0" fontId="8" fillId="0" borderId="0" xfId="9" applyAlignment="1" applyProtection="1"/>
    <xf numFmtId="0" fontId="62" fillId="0" borderId="28" xfId="87" applyFont="1" applyFill="1" applyBorder="1">
      <alignment vertical="center"/>
    </xf>
    <xf numFmtId="0" fontId="62" fillId="0" borderId="0" xfId="87" applyFont="1" applyFill="1" applyAlignment="1">
      <alignment horizontal="center" vertical="center"/>
    </xf>
    <xf numFmtId="0" fontId="62" fillId="0" borderId="0" xfId="87" applyFont="1" applyFill="1">
      <alignment vertical="center"/>
    </xf>
    <xf numFmtId="0" fontId="63" fillId="0" borderId="0" xfId="87" applyFont="1" applyFill="1" applyAlignment="1">
      <alignment horizontal="center" vertical="center"/>
    </xf>
    <xf numFmtId="0" fontId="62" fillId="0" borderId="0" xfId="87" applyFont="1" applyFill="1" applyAlignment="1">
      <alignment horizontal="left" vertical="center"/>
    </xf>
    <xf numFmtId="0" fontId="64" fillId="0" borderId="28" xfId="86" applyFont="1" applyFill="1" applyBorder="1" applyAlignment="1">
      <alignment horizontal="center" vertical="center"/>
    </xf>
    <xf numFmtId="0" fontId="62" fillId="0" borderId="28" xfId="87" applyFont="1" applyFill="1" applyBorder="1" applyAlignment="1">
      <alignment horizontal="left" vertical="center"/>
    </xf>
    <xf numFmtId="0" fontId="62" fillId="0" borderId="0" xfId="0" applyFont="1" applyFill="1" applyAlignment="1">
      <alignment horizontal="left" vertical="center"/>
    </xf>
    <xf numFmtId="49" fontId="62" fillId="0" borderId="0" xfId="87" applyNumberFormat="1" applyFont="1" applyFill="1">
      <alignment vertical="center"/>
    </xf>
    <xf numFmtId="185" fontId="65" fillId="0" borderId="0" xfId="87" applyNumberFormat="1" applyFont="1" applyFill="1">
      <alignment vertical="center"/>
    </xf>
    <xf numFmtId="185" fontId="64" fillId="0" borderId="0" xfId="86" applyNumberFormat="1" applyFont="1" applyFill="1" applyAlignment="1">
      <alignment vertical="center"/>
    </xf>
    <xf numFmtId="186" fontId="62" fillId="0" borderId="0" xfId="87" applyNumberFormat="1" applyFont="1" applyFill="1">
      <alignment vertical="center"/>
    </xf>
    <xf numFmtId="49" fontId="62" fillId="0" borderId="0" xfId="87" applyNumberFormat="1" applyFont="1" applyFill="1" applyAlignment="1">
      <alignment vertical="center" wrapText="1"/>
    </xf>
    <xf numFmtId="49" fontId="62" fillId="0" borderId="0" xfId="87" applyNumberFormat="1" applyFont="1" applyFill="1" applyAlignment="1">
      <alignment horizontal="left" vertical="center" wrapText="1"/>
    </xf>
    <xf numFmtId="0" fontId="63" fillId="0" borderId="0" xfId="0" applyFont="1" applyFill="1" applyAlignment="1">
      <alignment horizontal="left" vertical="center"/>
    </xf>
    <xf numFmtId="49" fontId="63" fillId="0" borderId="0" xfId="87" applyNumberFormat="1" applyFont="1" applyFill="1">
      <alignment vertical="center"/>
    </xf>
    <xf numFmtId="185" fontId="63" fillId="0" borderId="0" xfId="87" applyNumberFormat="1" applyFont="1" applyFill="1">
      <alignment vertical="center"/>
    </xf>
    <xf numFmtId="49" fontId="62" fillId="0" borderId="0" xfId="0" applyNumberFormat="1" applyFont="1" applyFill="1" applyAlignment="1">
      <alignment vertical="center"/>
    </xf>
    <xf numFmtId="0" fontId="62" fillId="0" borderId="25" xfId="0" applyFont="1" applyFill="1" applyBorder="1" applyAlignment="1">
      <alignment horizontal="left" vertical="center"/>
    </xf>
    <xf numFmtId="49" fontId="62" fillId="0" borderId="25" xfId="87" applyNumberFormat="1" applyFont="1" applyFill="1" applyBorder="1">
      <alignment vertical="center"/>
    </xf>
    <xf numFmtId="185" fontId="65" fillId="0" borderId="25" xfId="87" applyNumberFormat="1" applyFont="1" applyFill="1" applyBorder="1">
      <alignment vertical="center"/>
    </xf>
    <xf numFmtId="0" fontId="62" fillId="0" borderId="0" xfId="0" applyFont="1" applyFill="1" applyAlignment="1">
      <alignment horizontal="left" vertical="center" indent="1"/>
    </xf>
    <xf numFmtId="49" fontId="62" fillId="0" borderId="0" xfId="87" applyNumberFormat="1" applyFont="1" applyFill="1" applyAlignment="1">
      <alignment horizontal="left" vertical="center" indent="1"/>
    </xf>
    <xf numFmtId="0" fontId="62" fillId="0" borderId="0" xfId="0" applyFont="1" applyFill="1" applyAlignment="1">
      <alignment horizontal="left" vertical="center" indent="2"/>
    </xf>
    <xf numFmtId="49" fontId="62" fillId="0" borderId="0" xfId="87" applyNumberFormat="1" applyFont="1" applyFill="1" applyAlignment="1">
      <alignment horizontal="left" vertical="center" indent="2"/>
    </xf>
    <xf numFmtId="0" fontId="63" fillId="0" borderId="26" xfId="0" applyFont="1" applyFill="1" applyBorder="1" applyAlignment="1">
      <alignment horizontal="left" vertical="center"/>
    </xf>
    <xf numFmtId="49" fontId="63" fillId="0" borderId="26" xfId="87" applyNumberFormat="1" applyFont="1" applyFill="1" applyBorder="1">
      <alignment vertical="center"/>
    </xf>
    <xf numFmtId="185" fontId="63" fillId="0" borderId="26" xfId="87" applyNumberFormat="1" applyFont="1" applyFill="1" applyBorder="1">
      <alignment vertical="center"/>
    </xf>
    <xf numFmtId="49" fontId="63" fillId="0" borderId="0" xfId="87" applyNumberFormat="1" applyFont="1" applyFill="1" applyAlignment="1">
      <alignment horizontal="left" vertical="center"/>
    </xf>
    <xf numFmtId="49" fontId="62" fillId="0" borderId="0" xfId="87" applyNumberFormat="1" applyFont="1" applyFill="1" applyAlignment="1">
      <alignment horizontal="left" vertical="center" wrapText="1" indent="1"/>
    </xf>
    <xf numFmtId="49" fontId="62" fillId="0" borderId="0" xfId="87" applyNumberFormat="1" applyFont="1" applyFill="1" applyAlignment="1">
      <alignment horizontal="left" vertical="center" wrapText="1" indent="2"/>
    </xf>
    <xf numFmtId="0" fontId="62" fillId="0" borderId="0" xfId="0" applyFont="1" applyFill="1" applyAlignment="1">
      <alignment horizontal="left" vertical="center" indent="3"/>
    </xf>
    <xf numFmtId="49" fontId="62" fillId="0" borderId="0" xfId="87" applyNumberFormat="1" applyFont="1" applyFill="1" applyAlignment="1">
      <alignment horizontal="left" vertical="center" wrapText="1" indent="3"/>
    </xf>
    <xf numFmtId="49" fontId="62" fillId="0" borderId="0" xfId="87" applyNumberFormat="1" applyFont="1" applyFill="1" applyAlignment="1">
      <alignment horizontal="left" vertical="center" indent="3"/>
    </xf>
    <xf numFmtId="0" fontId="62" fillId="0" borderId="29" xfId="0" applyFont="1" applyFill="1" applyBorder="1" applyAlignment="1">
      <alignment horizontal="left" vertical="center" indent="1"/>
    </xf>
    <xf numFmtId="49" fontId="65" fillId="0" borderId="29" xfId="87" applyNumberFormat="1" applyFont="1" applyFill="1" applyBorder="1" applyAlignment="1">
      <alignment horizontal="left" vertical="center" indent="1"/>
    </xf>
    <xf numFmtId="185" fontId="65" fillId="0" borderId="29" xfId="87" applyNumberFormat="1" applyFont="1" applyFill="1" applyBorder="1">
      <alignment vertical="center"/>
    </xf>
    <xf numFmtId="49" fontId="62" fillId="0" borderId="0" xfId="0"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7" applyNumberFormat="1" applyFont="1" applyFill="1" applyBorder="1" applyAlignment="1">
      <alignment horizontal="left" vertical="center"/>
    </xf>
    <xf numFmtId="185" fontId="65" fillId="0" borderId="26" xfId="87" applyNumberFormat="1" applyFont="1" applyFill="1" applyBorder="1">
      <alignment vertical="center"/>
    </xf>
    <xf numFmtId="49" fontId="62" fillId="0" borderId="0" xfId="87" applyNumberFormat="1" applyFont="1" applyFill="1" applyAlignment="1">
      <alignment horizontal="left" vertical="center"/>
    </xf>
    <xf numFmtId="0" fontId="62" fillId="0" borderId="30" xfId="87" applyFont="1" applyFill="1" applyBorder="1">
      <alignment vertical="center"/>
    </xf>
    <xf numFmtId="49" fontId="62" fillId="35" borderId="0" xfId="87" applyNumberFormat="1" applyFont="1" applyFill="1" applyAlignment="1">
      <alignment horizontal="left" vertical="center" wrapText="1" indent="3"/>
    </xf>
    <xf numFmtId="0" fontId="62" fillId="35" borderId="0" xfId="0" applyFont="1" applyFill="1" applyAlignment="1">
      <alignment horizontal="left" vertical="center" indent="4"/>
    </xf>
    <xf numFmtId="49" fontId="62" fillId="35" borderId="0" xfId="87" applyNumberFormat="1" applyFont="1" applyFill="1" applyAlignment="1">
      <alignment horizontal="left" vertical="center" wrapText="1" indent="4"/>
    </xf>
    <xf numFmtId="0" fontId="66" fillId="0" borderId="0" xfId="0" applyFont="1"/>
    <xf numFmtId="0" fontId="66" fillId="0" borderId="25" xfId="0" applyFont="1" applyBorder="1"/>
    <xf numFmtId="0" fontId="0" fillId="0" borderId="8" xfId="24" applyFont="1">
      <alignment wrapText="1"/>
    </xf>
    <xf numFmtId="0" fontId="70" fillId="0" borderId="0" xfId="0" applyFont="1"/>
    <xf numFmtId="0" fontId="69" fillId="43" borderId="0" xfId="87" applyFont="1" applyFill="1" applyAlignment="1">
      <alignment horizontal="center" vertical="center"/>
    </xf>
    <xf numFmtId="0" fontId="69" fillId="42" borderId="0" xfId="87" applyFont="1" applyFill="1" applyAlignment="1">
      <alignment horizontal="center" vertical="center"/>
    </xf>
    <xf numFmtId="188" fontId="43" fillId="37" borderId="0" xfId="87" applyNumberFormat="1" applyFont="1" applyFill="1" applyBorder="1" applyAlignment="1">
      <alignment vertical="center" wrapText="1"/>
    </xf>
    <xf numFmtId="189" fontId="0" fillId="0" borderId="0" xfId="85" quotePrefix="1" applyNumberFormat="1" applyFont="1" applyAlignment="1"/>
    <xf numFmtId="189" fontId="41" fillId="37" borderId="0" xfId="87" applyNumberFormat="1" applyFont="1" applyFill="1" applyBorder="1" applyAlignment="1">
      <alignment horizontal="centerContinuous" vertical="center" wrapText="1"/>
    </xf>
    <xf numFmtId="189" fontId="45" fillId="38" borderId="0" xfId="87" applyNumberFormat="1" applyFont="1" applyFill="1" applyBorder="1" applyAlignment="1">
      <alignment horizontal="right" vertical="center" wrapText="1"/>
    </xf>
    <xf numFmtId="189" fontId="45" fillId="36" borderId="0" xfId="87" applyNumberFormat="1" applyFont="1" applyFill="1" applyBorder="1" applyAlignment="1">
      <alignment horizontal="right" vertical="center" wrapText="1"/>
    </xf>
    <xf numFmtId="189" fontId="48" fillId="38" borderId="0" xfId="85" applyNumberFormat="1" applyFont="1" applyFill="1" applyBorder="1" applyAlignment="1">
      <alignment horizontal="right" vertical="center" wrapText="1"/>
    </xf>
    <xf numFmtId="189" fontId="4" fillId="36" borderId="0" xfId="86" applyNumberFormat="1" applyFill="1"/>
    <xf numFmtId="189" fontId="48" fillId="36" borderId="0" xfId="87" applyNumberFormat="1" applyFont="1" applyFill="1" applyBorder="1" applyAlignment="1">
      <alignment horizontal="right" vertical="center" wrapText="1"/>
    </xf>
    <xf numFmtId="189" fontId="48" fillId="38" borderId="31" xfId="85" applyNumberFormat="1" applyFont="1" applyFill="1" applyBorder="1" applyAlignment="1">
      <alignment horizontal="right" vertical="center" wrapText="1"/>
    </xf>
    <xf numFmtId="0" fontId="38" fillId="36" borderId="0" xfId="86" applyFont="1" applyFill="1" applyAlignment="1">
      <alignment wrapText="1"/>
    </xf>
    <xf numFmtId="189" fontId="0" fillId="0" borderId="0" xfId="85" applyNumberFormat="1" applyFont="1" applyAlignment="1">
      <alignment horizontal="center"/>
    </xf>
    <xf numFmtId="189" fontId="0" fillId="0" borderId="0" xfId="85" applyNumberFormat="1" applyFont="1" applyAlignment="1"/>
    <xf numFmtId="188" fontId="43" fillId="37" borderId="32" xfId="87" applyNumberFormat="1" applyFont="1" applyFill="1" applyBorder="1" applyAlignment="1">
      <alignment vertical="center" wrapText="1"/>
    </xf>
    <xf numFmtId="189" fontId="45" fillId="36" borderId="32" xfId="87" applyNumberFormat="1" applyFont="1" applyFill="1" applyBorder="1" applyAlignment="1">
      <alignment horizontal="right" vertical="center" wrapText="1"/>
    </xf>
    <xf numFmtId="189" fontId="48" fillId="36" borderId="32" xfId="87" applyNumberFormat="1" applyFont="1" applyFill="1" applyBorder="1" applyAlignment="1">
      <alignment horizontal="right" vertical="center" wrapText="1"/>
    </xf>
    <xf numFmtId="0" fontId="71" fillId="0" borderId="0" xfId="0" applyFont="1"/>
    <xf numFmtId="189" fontId="71" fillId="0" borderId="0" xfId="0" applyNumberFormat="1" applyFont="1"/>
    <xf numFmtId="189" fontId="72" fillId="0" borderId="0" xfId="85" quotePrefix="1" applyNumberFormat="1" applyFont="1" applyAlignment="1"/>
    <xf numFmtId="189" fontId="72" fillId="0" borderId="0" xfId="0" applyNumberFormat="1" applyFont="1"/>
    <xf numFmtId="189" fontId="48" fillId="36" borderId="31" xfId="87" applyNumberFormat="1" applyFont="1" applyFill="1" applyBorder="1" applyAlignment="1">
      <alignment horizontal="right" vertical="center" wrapText="1"/>
    </xf>
    <xf numFmtId="189" fontId="48" fillId="36" borderId="33" xfId="87" applyNumberFormat="1" applyFont="1" applyFill="1" applyBorder="1" applyAlignment="1">
      <alignment horizontal="right" vertical="center" wrapText="1"/>
    </xf>
    <xf numFmtId="41" fontId="4" fillId="36" borderId="0" xfId="85" applyFont="1" applyFill="1" applyAlignment="1"/>
    <xf numFmtId="0" fontId="66" fillId="36" borderId="34" xfId="86" applyFont="1" applyFill="1" applyBorder="1"/>
    <xf numFmtId="41" fontId="66" fillId="0" borderId="34" xfId="85" applyFont="1" applyBorder="1" applyAlignment="1"/>
    <xf numFmtId="2" fontId="66" fillId="0" borderId="34" xfId="0" applyNumberFormat="1" applyFont="1" applyBorder="1"/>
    <xf numFmtId="189" fontId="0" fillId="0" borderId="0" xfId="0" applyNumberFormat="1"/>
    <xf numFmtId="0" fontId="3" fillId="36" borderId="0" xfId="86" applyFont="1" applyFill="1"/>
    <xf numFmtId="9" fontId="4" fillId="36" borderId="0" xfId="86" applyNumberFormat="1" applyFill="1"/>
    <xf numFmtId="187" fontId="4" fillId="36" borderId="0" xfId="85" applyNumberFormat="1" applyFont="1" applyFill="1" applyAlignment="1"/>
    <xf numFmtId="187" fontId="48" fillId="36" borderId="0" xfId="85" applyNumberFormat="1" applyFont="1" applyFill="1" applyBorder="1" applyAlignment="1">
      <alignment horizontal="right" vertical="center" wrapText="1"/>
    </xf>
    <xf numFmtId="190" fontId="73" fillId="36" borderId="0" xfId="86" applyNumberFormat="1" applyFont="1" applyFill="1"/>
    <xf numFmtId="0" fontId="0" fillId="0" borderId="0" xfId="0" applyAlignment="1">
      <alignment vertical="center"/>
    </xf>
    <xf numFmtId="177" fontId="0" fillId="0" borderId="34" xfId="0" applyNumberFormat="1" applyBorder="1" applyAlignment="1">
      <alignment horizontal="right"/>
    </xf>
    <xf numFmtId="3" fontId="0" fillId="0" borderId="34" xfId="0" applyNumberFormat="1" applyBorder="1" applyAlignment="1">
      <alignment horizontal="right"/>
    </xf>
    <xf numFmtId="0" fontId="66" fillId="3" borderId="0" xfId="0" applyFont="1" applyFill="1"/>
    <xf numFmtId="0" fontId="62" fillId="41" borderId="0" xfId="0" applyFont="1" applyFill="1" applyAlignment="1">
      <alignment horizontal="left" vertical="center" indent="4"/>
    </xf>
    <xf numFmtId="49" fontId="62" fillId="41" borderId="0" xfId="87" applyNumberFormat="1" applyFont="1" applyFill="1" applyAlignment="1">
      <alignment horizontal="left" vertical="center" wrapText="1" indent="4"/>
    </xf>
    <xf numFmtId="185" fontId="65" fillId="41" borderId="0" xfId="87" applyNumberFormat="1" applyFont="1" applyFill="1">
      <alignment vertical="center"/>
    </xf>
    <xf numFmtId="186" fontId="62" fillId="41" borderId="0" xfId="87" applyNumberFormat="1" applyFont="1" applyFill="1">
      <alignment vertical="center"/>
    </xf>
    <xf numFmtId="0" fontId="62" fillId="41" borderId="0" xfId="87" applyFont="1" applyFill="1">
      <alignment vertical="center"/>
    </xf>
    <xf numFmtId="0" fontId="66" fillId="41" borderId="25" xfId="0" applyFont="1" applyFill="1" applyBorder="1"/>
    <xf numFmtId="0" fontId="62" fillId="49" borderId="0" xfId="0" applyFont="1" applyFill="1" applyAlignment="1">
      <alignment horizontal="left" vertical="center" indent="4"/>
    </xf>
    <xf numFmtId="49" fontId="62" fillId="49" borderId="0" xfId="87" applyNumberFormat="1" applyFont="1" applyFill="1" applyAlignment="1">
      <alignment horizontal="left" vertical="center" wrapText="1" indent="4"/>
    </xf>
    <xf numFmtId="185" fontId="65" fillId="49" borderId="0" xfId="87" applyNumberFormat="1" applyFont="1" applyFill="1">
      <alignment vertical="center"/>
    </xf>
    <xf numFmtId="186" fontId="62" fillId="49" borderId="0" xfId="87" applyNumberFormat="1" applyFont="1" applyFill="1">
      <alignment vertical="center"/>
    </xf>
    <xf numFmtId="0" fontId="62" fillId="49" borderId="0" xfId="87" applyFont="1" applyFill="1">
      <alignment vertical="center"/>
    </xf>
    <xf numFmtId="0" fontId="62" fillId="40" borderId="0" xfId="0" applyFont="1" applyFill="1" applyAlignment="1">
      <alignment horizontal="left" vertical="center" indent="4"/>
    </xf>
    <xf numFmtId="49" fontId="62" fillId="40" borderId="0" xfId="87" applyNumberFormat="1" applyFont="1" applyFill="1" applyAlignment="1">
      <alignment horizontal="left" vertical="center" wrapText="1" indent="4"/>
    </xf>
    <xf numFmtId="185" fontId="65" fillId="40" borderId="0" xfId="87" applyNumberFormat="1" applyFont="1" applyFill="1">
      <alignment vertical="center"/>
    </xf>
    <xf numFmtId="186" fontId="62" fillId="40" borderId="0" xfId="87" applyNumberFormat="1" applyFont="1" applyFill="1">
      <alignment vertical="center"/>
    </xf>
    <xf numFmtId="0" fontId="62" fillId="40" borderId="0" xfId="87" applyFont="1" applyFill="1">
      <alignment vertical="center"/>
    </xf>
    <xf numFmtId="0" fontId="62" fillId="46" borderId="0" xfId="0" applyFont="1" applyFill="1" applyAlignment="1">
      <alignment horizontal="left" vertical="center" indent="4"/>
    </xf>
    <xf numFmtId="49" fontId="62" fillId="46" borderId="0" xfId="87" applyNumberFormat="1" applyFont="1" applyFill="1" applyAlignment="1">
      <alignment horizontal="left" vertical="center" wrapText="1" indent="4"/>
    </xf>
    <xf numFmtId="185" fontId="65" fillId="46" borderId="0" xfId="87" applyNumberFormat="1" applyFont="1" applyFill="1">
      <alignment vertical="center"/>
    </xf>
    <xf numFmtId="186" fontId="62" fillId="46" borderId="0" xfId="87" applyNumberFormat="1" applyFont="1" applyFill="1">
      <alignment vertical="center"/>
    </xf>
    <xf numFmtId="0" fontId="62" fillId="46" borderId="0" xfId="87"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2" fillId="54" borderId="0" xfId="0" applyFont="1" applyFill="1" applyAlignment="1">
      <alignment horizontal="left" vertical="center" indent="1"/>
    </xf>
    <xf numFmtId="49" fontId="62" fillId="54" borderId="0" xfId="87" applyNumberFormat="1" applyFont="1" applyFill="1" applyAlignment="1">
      <alignment horizontal="left" vertical="center" indent="1"/>
    </xf>
    <xf numFmtId="185" fontId="65" fillId="54" borderId="0" xfId="87" applyNumberFormat="1" applyFont="1" applyFill="1">
      <alignment vertical="center"/>
    </xf>
    <xf numFmtId="186" fontId="62" fillId="54" borderId="0" xfId="87" applyNumberFormat="1" applyFont="1" applyFill="1">
      <alignment vertical="center"/>
    </xf>
    <xf numFmtId="0" fontId="62" fillId="54" borderId="0" xfId="87" applyFont="1" applyFill="1">
      <alignment vertical="center"/>
    </xf>
    <xf numFmtId="0" fontId="2" fillId="36" borderId="0" xfId="88" applyFill="1"/>
    <xf numFmtId="0" fontId="40" fillId="37" borderId="0" xfId="87" applyFont="1" applyFill="1" applyAlignment="1">
      <alignment vertical="center" wrapText="1"/>
    </xf>
    <xf numFmtId="0" fontId="41" fillId="37" borderId="0" xfId="87" applyFont="1" applyFill="1" applyAlignment="1">
      <alignment horizontal="centerContinuous" vertical="center" wrapText="1"/>
    </xf>
    <xf numFmtId="0" fontId="42" fillId="37" borderId="0" xfId="87" applyFont="1" applyFill="1" applyAlignment="1">
      <alignment vertical="center" wrapText="1"/>
    </xf>
    <xf numFmtId="0" fontId="43" fillId="37" borderId="0" xfId="87" applyFont="1" applyFill="1" applyAlignment="1">
      <alignment vertical="center" wrapText="1"/>
    </xf>
    <xf numFmtId="0" fontId="43" fillId="37" borderId="0" xfId="87" applyFont="1" applyFill="1" applyAlignment="1">
      <alignment horizontal="center" vertical="center" wrapText="1"/>
    </xf>
    <xf numFmtId="0" fontId="42" fillId="37" borderId="0" xfId="87" applyFont="1" applyFill="1" applyAlignment="1">
      <alignment horizontal="center" vertical="center" wrapText="1"/>
    </xf>
    <xf numFmtId="0" fontId="44" fillId="36" borderId="0" xfId="87" applyFont="1" applyFill="1" applyAlignment="1">
      <alignment vertical="center" wrapText="1"/>
    </xf>
    <xf numFmtId="182" fontId="45" fillId="38" borderId="0" xfId="87" applyNumberFormat="1" applyFont="1" applyFill="1" applyAlignment="1">
      <alignment horizontal="right" vertical="center" wrapText="1"/>
    </xf>
    <xf numFmtId="182" fontId="45" fillId="36" borderId="0" xfId="87" applyNumberFormat="1" applyFont="1" applyFill="1" applyAlignment="1">
      <alignment horizontal="right" vertical="center" wrapText="1"/>
    </xf>
    <xf numFmtId="180" fontId="45" fillId="36" borderId="0" xfId="87" applyNumberFormat="1" applyFont="1" applyFill="1" applyAlignment="1">
      <alignment horizontal="right" vertical="center" wrapText="1"/>
    </xf>
    <xf numFmtId="181" fontId="58" fillId="36" borderId="0" xfId="87" applyNumberFormat="1" applyFont="1" applyFill="1" applyAlignment="1">
      <alignment horizontal="right" vertical="center" wrapText="1"/>
    </xf>
    <xf numFmtId="183" fontId="45" fillId="36" borderId="0" xfId="87" applyNumberFormat="1" applyFont="1" applyFill="1" applyAlignment="1">
      <alignment horizontal="right" vertical="center" wrapText="1"/>
    </xf>
    <xf numFmtId="0" fontId="38" fillId="36" borderId="0" xfId="87" applyFont="1" applyFill="1" applyAlignment="1">
      <alignment horizontal="left" vertical="center" wrapText="1" indent="1"/>
    </xf>
    <xf numFmtId="182" fontId="48" fillId="38" borderId="0" xfId="87" applyNumberFormat="1" applyFont="1" applyFill="1" applyAlignment="1">
      <alignment horizontal="right" vertical="center" wrapText="1"/>
    </xf>
    <xf numFmtId="182" fontId="48" fillId="36" borderId="0" xfId="87" applyNumberFormat="1" applyFont="1" applyFill="1" applyAlignment="1">
      <alignment horizontal="right" vertical="center" wrapText="1"/>
    </xf>
    <xf numFmtId="180" fontId="48" fillId="36" borderId="0" xfId="87" applyNumberFormat="1" applyFont="1" applyFill="1" applyAlignment="1">
      <alignment horizontal="right" vertical="center" wrapText="1"/>
    </xf>
    <xf numFmtId="181" fontId="49" fillId="36" borderId="0" xfId="87" applyNumberFormat="1" applyFont="1" applyFill="1" applyAlignment="1">
      <alignment horizontal="right" vertical="center" wrapText="1"/>
    </xf>
    <xf numFmtId="183" fontId="48" fillId="36" borderId="0" xfId="87" applyNumberFormat="1" applyFont="1" applyFill="1" applyAlignment="1">
      <alignment horizontal="right" vertical="center" wrapText="1"/>
    </xf>
    <xf numFmtId="0" fontId="51" fillId="36" borderId="0" xfId="88" applyFont="1" applyFill="1"/>
    <xf numFmtId="181" fontId="48" fillId="36" borderId="0" xfId="87" applyNumberFormat="1" applyFont="1" applyFill="1" applyAlignment="1">
      <alignment horizontal="right" vertical="center" wrapText="1"/>
    </xf>
    <xf numFmtId="0" fontId="2" fillId="36" borderId="0" xfId="88" applyFill="1" applyAlignment="1">
      <alignment horizontal="right"/>
    </xf>
    <xf numFmtId="0" fontId="51" fillId="36" borderId="0" xfId="88" applyFont="1" applyFill="1" applyAlignment="1">
      <alignment horizontal="right"/>
    </xf>
    <xf numFmtId="0" fontId="2" fillId="36" borderId="0" xfId="88" applyFill="1" applyAlignment="1">
      <alignment horizontal="right" indent="1"/>
    </xf>
    <xf numFmtId="0" fontId="51" fillId="36" borderId="0" xfId="88" applyFont="1" applyFill="1" applyAlignment="1">
      <alignment horizontal="right" indent="1"/>
    </xf>
    <xf numFmtId="0" fontId="69" fillId="55" borderId="28" xfId="87" applyFont="1" applyFill="1" applyBorder="1" applyAlignment="1">
      <alignment vertical="center"/>
    </xf>
    <xf numFmtId="190" fontId="48" fillId="36" borderId="0" xfId="18" applyNumberFormat="1" applyFont="1" applyFill="1" applyBorder="1" applyAlignment="1">
      <alignment horizontal="right" vertical="center" wrapText="1"/>
    </xf>
    <xf numFmtId="189" fontId="45" fillId="38" borderId="0" xfId="87" applyNumberFormat="1" applyFont="1" applyFill="1" applyAlignment="1">
      <alignment horizontal="right" vertical="center" wrapText="1"/>
    </xf>
    <xf numFmtId="189" fontId="45" fillId="36" borderId="0" xfId="87" applyNumberFormat="1" applyFont="1" applyFill="1" applyAlignment="1">
      <alignment horizontal="right" vertical="center" wrapText="1"/>
    </xf>
    <xf numFmtId="0" fontId="50" fillId="36" borderId="0" xfId="87" applyFont="1" applyFill="1" applyBorder="1" applyAlignment="1">
      <alignment vertical="center" wrapText="1"/>
    </xf>
    <xf numFmtId="189" fontId="49" fillId="36" borderId="0" xfId="87" applyNumberFormat="1" applyFont="1" applyFill="1" applyBorder="1" applyAlignment="1">
      <alignment horizontal="right" vertical="center" wrapText="1"/>
    </xf>
    <xf numFmtId="0" fontId="4" fillId="36" borderId="0" xfId="86" applyFill="1" applyBorder="1"/>
    <xf numFmtId="189" fontId="4" fillId="36" borderId="0" xfId="86" applyNumberFormat="1" applyFill="1" applyBorder="1"/>
    <xf numFmtId="189" fontId="48" fillId="36" borderId="0" xfId="85" applyNumberFormat="1" applyFont="1" applyFill="1" applyBorder="1" applyAlignment="1">
      <alignment horizontal="right" vertical="center" wrapText="1"/>
    </xf>
    <xf numFmtId="41" fontId="0" fillId="0" borderId="0" xfId="85" applyFont="1" applyAlignment="1"/>
    <xf numFmtId="0" fontId="62" fillId="43" borderId="0" xfId="0" applyFont="1" applyFill="1" applyAlignment="1">
      <alignment horizontal="left" vertical="center" indent="1"/>
    </xf>
    <xf numFmtId="49" fontId="62" fillId="43" borderId="0" xfId="87" applyNumberFormat="1" applyFont="1" applyFill="1" applyAlignment="1">
      <alignment horizontal="left" vertical="center" indent="1"/>
    </xf>
    <xf numFmtId="185" fontId="65" fillId="43" borderId="0" xfId="87" applyNumberFormat="1" applyFont="1" applyFill="1">
      <alignment vertical="center"/>
    </xf>
    <xf numFmtId="186" fontId="62" fillId="43" borderId="0" xfId="87" applyNumberFormat="1" applyFont="1" applyFill="1">
      <alignment vertical="center"/>
    </xf>
    <xf numFmtId="0" fontId="62" fillId="43" borderId="0" xfId="87" applyFont="1" applyFill="1">
      <alignment vertical="center"/>
    </xf>
    <xf numFmtId="0" fontId="44" fillId="36" borderId="0" xfId="87" applyFont="1" applyFill="1" applyAlignment="1">
      <alignment horizontal="left" vertical="center" wrapText="1"/>
    </xf>
    <xf numFmtId="0" fontId="74" fillId="36" borderId="0" xfId="87" applyFont="1" applyFill="1" applyAlignment="1">
      <alignment horizontal="left" vertical="center" wrapText="1" indent="1"/>
    </xf>
    <xf numFmtId="182" fontId="75" fillId="38" borderId="0" xfId="87" applyNumberFormat="1" applyFont="1" applyFill="1" applyAlignment="1">
      <alignment horizontal="right" vertical="center" wrapText="1"/>
    </xf>
    <xf numFmtId="182" fontId="75" fillId="36" borderId="0" xfId="87" applyNumberFormat="1" applyFont="1" applyFill="1" applyAlignment="1">
      <alignment horizontal="right" vertical="center" wrapText="1"/>
    </xf>
    <xf numFmtId="181" fontId="47" fillId="36" borderId="0" xfId="87" applyNumberFormat="1" applyFont="1" applyFill="1" applyAlignment="1">
      <alignment horizontal="right" vertical="center" wrapText="1"/>
    </xf>
    <xf numFmtId="183" fontId="75" fillId="36" borderId="0" xfId="87" applyNumberFormat="1" applyFont="1" applyFill="1" applyAlignment="1">
      <alignment horizontal="right" vertical="center" wrapText="1"/>
    </xf>
    <xf numFmtId="0" fontId="76" fillId="36" borderId="0" xfId="87" applyFont="1" applyFill="1" applyAlignment="1">
      <alignment vertical="center" wrapText="1"/>
    </xf>
    <xf numFmtId="182" fontId="77" fillId="38" borderId="0" xfId="87" applyNumberFormat="1" applyFont="1" applyFill="1" applyAlignment="1">
      <alignment horizontal="right" vertical="center" wrapText="1"/>
    </xf>
    <xf numFmtId="182" fontId="77" fillId="36" borderId="0" xfId="87" applyNumberFormat="1" applyFont="1" applyFill="1" applyAlignment="1">
      <alignment horizontal="right" vertical="center" wrapText="1"/>
    </xf>
    <xf numFmtId="181" fontId="46" fillId="36" borderId="0" xfId="87" applyNumberFormat="1" applyFont="1" applyFill="1" applyAlignment="1">
      <alignment horizontal="right" vertical="center" wrapText="1"/>
    </xf>
    <xf numFmtId="0" fontId="62" fillId="47" borderId="0" xfId="0" applyFont="1" applyFill="1" applyAlignment="1">
      <alignment horizontal="left" vertical="center" indent="1"/>
    </xf>
    <xf numFmtId="49" fontId="62" fillId="47" borderId="0" xfId="87" applyNumberFormat="1" applyFont="1" applyFill="1" applyAlignment="1">
      <alignment horizontal="left" vertical="center" indent="1"/>
    </xf>
    <xf numFmtId="185" fontId="65" fillId="47" borderId="0" xfId="87" applyNumberFormat="1" applyFont="1" applyFill="1">
      <alignment vertical="center"/>
    </xf>
    <xf numFmtId="186" fontId="62" fillId="47" borderId="0" xfId="87" applyNumberFormat="1" applyFont="1" applyFill="1">
      <alignment vertical="center"/>
    </xf>
    <xf numFmtId="0" fontId="62" fillId="47" borderId="0" xfId="87" applyFont="1" applyFill="1">
      <alignment vertical="center"/>
    </xf>
    <xf numFmtId="180" fontId="75" fillId="36" borderId="0" xfId="87" applyNumberFormat="1" applyFont="1" applyFill="1" applyAlignment="1">
      <alignment horizontal="right" vertical="center" wrapText="1"/>
    </xf>
    <xf numFmtId="182" fontId="78" fillId="38" borderId="0" xfId="87" applyNumberFormat="1" applyFont="1" applyFill="1" applyAlignment="1">
      <alignment horizontal="right" vertical="center" wrapText="1"/>
    </xf>
    <xf numFmtId="182" fontId="78" fillId="36" borderId="0" xfId="87" applyNumberFormat="1" applyFont="1" applyFill="1" applyAlignment="1">
      <alignment horizontal="right" vertical="center" wrapText="1"/>
    </xf>
    <xf numFmtId="0" fontId="38" fillId="36" borderId="0" xfId="87" applyFont="1" applyFill="1" applyAlignment="1">
      <alignment horizontal="left" vertical="center" wrapText="1" indent="2"/>
    </xf>
    <xf numFmtId="0" fontId="38" fillId="36" borderId="37" xfId="87" applyFont="1" applyFill="1" applyBorder="1" applyAlignment="1">
      <alignment horizontal="left" vertical="center" wrapText="1" indent="1"/>
    </xf>
    <xf numFmtId="0" fontId="62" fillId="56" borderId="0" xfId="0" applyFont="1" applyFill="1" applyAlignment="1">
      <alignment horizontal="left" vertical="center" indent="1"/>
    </xf>
    <xf numFmtId="49" fontId="65" fillId="56" borderId="0" xfId="87" applyNumberFormat="1" applyFont="1" applyFill="1" applyAlignment="1">
      <alignment horizontal="left" vertical="center" indent="1"/>
    </xf>
    <xf numFmtId="185" fontId="65" fillId="56" borderId="0" xfId="87" applyNumberFormat="1" applyFont="1" applyFill="1">
      <alignment vertical="center"/>
    </xf>
    <xf numFmtId="186" fontId="62" fillId="56" borderId="0" xfId="87" applyNumberFormat="1" applyFont="1" applyFill="1">
      <alignment vertical="center"/>
    </xf>
    <xf numFmtId="0" fontId="62" fillId="56" borderId="0" xfId="87" applyFont="1" applyFill="1">
      <alignment vertical="center"/>
    </xf>
    <xf numFmtId="49" fontId="62" fillId="56" borderId="0" xfId="87"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7" fillId="0" borderId="25" xfId="86" applyFont="1" applyFill="1" applyBorder="1" applyAlignment="1">
      <alignment vertical="top"/>
    </xf>
    <xf numFmtId="0" fontId="61" fillId="0" borderId="25" xfId="86" applyFont="1" applyFill="1" applyBorder="1" applyAlignment="1">
      <alignment vertical="top"/>
    </xf>
    <xf numFmtId="0" fontId="66" fillId="0" borderId="25" xfId="86" applyFont="1" applyFill="1" applyBorder="1" applyAlignment="1">
      <alignment vertical="top"/>
    </xf>
    <xf numFmtId="0" fontId="62" fillId="0" borderId="25" xfId="0" applyFont="1" applyFill="1" applyBorder="1" applyAlignment="1">
      <alignment horizontal="left" vertical="top"/>
    </xf>
    <xf numFmtId="0" fontId="61" fillId="0" borderId="25" xfId="86" applyFont="1" applyFill="1" applyBorder="1" applyAlignment="1">
      <alignment vertical="top" wrapText="1"/>
    </xf>
    <xf numFmtId="189" fontId="0" fillId="36" borderId="0" xfId="85" quotePrefix="1" applyNumberFormat="1" applyFont="1" applyFill="1" applyAlignment="1"/>
    <xf numFmtId="189" fontId="0" fillId="36" borderId="0" xfId="85" applyNumberFormat="1" applyFont="1" applyFill="1" applyAlignment="1"/>
    <xf numFmtId="189" fontId="0" fillId="36" borderId="0" xfId="85" applyNumberFormat="1" applyFont="1" applyFill="1" applyAlignment="1">
      <alignment horizontal="center"/>
    </xf>
    <xf numFmtId="189" fontId="39" fillId="36" borderId="0" xfId="0" applyNumberFormat="1" applyFont="1" applyFill="1"/>
    <xf numFmtId="189" fontId="39" fillId="36" borderId="0" xfId="85" quotePrefix="1" applyNumberFormat="1" applyFont="1" applyFill="1" applyAlignment="1"/>
    <xf numFmtId="0" fontId="79" fillId="36" borderId="0" xfId="86" applyFont="1" applyFill="1"/>
    <xf numFmtId="189" fontId="39" fillId="36" borderId="0" xfId="85" applyNumberFormat="1" applyFont="1" applyFill="1" applyBorder="1" applyAlignment="1"/>
    <xf numFmtId="0" fontId="80" fillId="0" borderId="25" xfId="86" applyFont="1" applyFill="1" applyBorder="1" applyAlignment="1">
      <alignment vertical="top"/>
    </xf>
    <xf numFmtId="0" fontId="1" fillId="36" borderId="0" xfId="89" applyFill="1"/>
    <xf numFmtId="0" fontId="51" fillId="36" borderId="0" xfId="89" applyFont="1" applyFill="1"/>
    <xf numFmtId="0" fontId="1" fillId="36" borderId="0" xfId="89" applyFill="1" applyAlignment="1">
      <alignment horizontal="right" indent="1"/>
    </xf>
    <xf numFmtId="0" fontId="51" fillId="36" borderId="0" xfId="89" applyFont="1" applyFill="1" applyAlignment="1">
      <alignment horizontal="right" indent="1"/>
    </xf>
    <xf numFmtId="0" fontId="62" fillId="3" borderId="0" xfId="0" applyFont="1" applyFill="1" applyAlignment="1">
      <alignment horizontal="left" vertical="center" indent="2"/>
    </xf>
    <xf numFmtId="49" fontId="62" fillId="3" borderId="0" xfId="87" applyNumberFormat="1" applyFont="1" applyFill="1" applyAlignment="1">
      <alignment horizontal="left" vertical="center" indent="2"/>
    </xf>
    <xf numFmtId="185" fontId="65" fillId="3" borderId="0" xfId="87" applyNumberFormat="1" applyFont="1" applyFill="1">
      <alignment vertical="center"/>
    </xf>
    <xf numFmtId="186" fontId="62" fillId="3" borderId="0" xfId="87" applyNumberFormat="1" applyFont="1" applyFill="1">
      <alignment vertical="center"/>
    </xf>
    <xf numFmtId="0" fontId="62" fillId="3" borderId="0" xfId="87" applyFont="1" applyFill="1">
      <alignment vertical="center"/>
    </xf>
    <xf numFmtId="0" fontId="63" fillId="0" borderId="0" xfId="87" applyFont="1" applyFill="1" applyAlignment="1">
      <alignment horizontal="left" vertical="center"/>
    </xf>
    <xf numFmtId="0" fontId="66" fillId="0" borderId="0" xfId="0" applyFont="1" applyAlignment="1">
      <alignment horizontal="right"/>
    </xf>
    <xf numFmtId="0" fontId="70" fillId="0" borderId="25" xfId="0" applyFont="1" applyBorder="1"/>
    <xf numFmtId="2" fontId="70" fillId="0" borderId="25" xfId="0" applyNumberFormat="1" applyFont="1" applyBorder="1"/>
    <xf numFmtId="0" fontId="66" fillId="0" borderId="25" xfId="0" applyFont="1" applyBorder="1" applyAlignment="1">
      <alignment horizontal="right"/>
    </xf>
    <xf numFmtId="0" fontId="61" fillId="0" borderId="0" xfId="86"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6" fillId="0" borderId="25" xfId="0" applyFont="1" applyBorder="1" applyAlignment="1">
      <alignment wrapText="1"/>
    </xf>
    <xf numFmtId="0" fontId="66" fillId="0" borderId="25" xfId="0" applyFont="1" applyBorder="1" applyAlignment="1">
      <alignment horizontal="right" wrapText="1"/>
    </xf>
    <xf numFmtId="0" fontId="66" fillId="36" borderId="25" xfId="86" applyFont="1" applyFill="1" applyBorder="1" applyAlignment="1">
      <alignment horizontal="right" wrapText="1"/>
    </xf>
    <xf numFmtId="0" fontId="66" fillId="0" borderId="0" xfId="0" applyFont="1" applyAlignment="1">
      <alignment wrapText="1"/>
    </xf>
    <xf numFmtId="0" fontId="66" fillId="0" borderId="25" xfId="0" applyFont="1" applyFill="1" applyBorder="1" applyAlignment="1">
      <alignment wrapText="1"/>
    </xf>
    <xf numFmtId="0" fontId="70" fillId="0" borderId="0" xfId="0" applyFont="1" applyFill="1"/>
    <xf numFmtId="2" fontId="70" fillId="0" borderId="0" xfId="0" applyNumberFormat="1" applyFont="1" applyFill="1"/>
    <xf numFmtId="0" fontId="66" fillId="0" borderId="25" xfId="86" applyFont="1" applyFill="1" applyBorder="1" applyAlignment="1">
      <alignment wrapText="1"/>
    </xf>
    <xf numFmtId="0" fontId="66" fillId="0" borderId="0" xfId="0" applyFont="1" applyFill="1" applyAlignment="1">
      <alignment wrapText="1"/>
    </xf>
    <xf numFmtId="2" fontId="66" fillId="0" borderId="25" xfId="0" applyNumberFormat="1" applyFont="1" applyFill="1" applyBorder="1" applyAlignment="1">
      <alignment wrapText="1"/>
    </xf>
    <xf numFmtId="187" fontId="66" fillId="0" borderId="25" xfId="85" applyNumberFormat="1" applyFont="1" applyFill="1" applyBorder="1" applyAlignment="1">
      <alignment wrapText="1"/>
    </xf>
    <xf numFmtId="0" fontId="66" fillId="0" borderId="0" xfId="0" applyFont="1" applyFill="1" applyAlignment="1">
      <alignment vertical="top" wrapText="1"/>
    </xf>
    <xf numFmtId="0" fontId="66" fillId="39" borderId="25" xfId="0" applyFont="1" applyFill="1" applyBorder="1" applyAlignment="1">
      <alignment vertical="top"/>
    </xf>
    <xf numFmtId="0" fontId="61" fillId="39" borderId="25" xfId="86" applyFont="1" applyFill="1" applyBorder="1" applyAlignment="1">
      <alignment vertical="top" wrapText="1"/>
    </xf>
    <xf numFmtId="2" fontId="66" fillId="39" borderId="25" xfId="0" applyNumberFormat="1" applyFont="1" applyFill="1" applyBorder="1" applyAlignment="1">
      <alignment vertical="top"/>
    </xf>
    <xf numFmtId="0" fontId="66" fillId="39" borderId="25" xfId="0" applyFont="1" applyFill="1" applyBorder="1" applyAlignment="1">
      <alignment horizontal="right" vertical="top"/>
    </xf>
    <xf numFmtId="0" fontId="66" fillId="0" borderId="0" xfId="0" applyFont="1" applyAlignment="1">
      <alignment vertical="top"/>
    </xf>
    <xf numFmtId="0" fontId="66" fillId="57" borderId="25" xfId="0" applyFont="1" applyFill="1" applyBorder="1" applyAlignment="1">
      <alignment vertical="top"/>
    </xf>
    <xf numFmtId="0" fontId="61" fillId="57" borderId="25" xfId="86" applyFont="1" applyFill="1" applyBorder="1" applyAlignment="1">
      <alignment vertical="top" wrapText="1"/>
    </xf>
    <xf numFmtId="2" fontId="66" fillId="57" borderId="25" xfId="0" applyNumberFormat="1" applyFont="1" applyFill="1" applyBorder="1" applyAlignment="1">
      <alignment vertical="top"/>
    </xf>
    <xf numFmtId="2" fontId="66" fillId="57" borderId="25" xfId="86" applyNumberFormat="1" applyFont="1" applyFill="1" applyBorder="1" applyAlignment="1">
      <alignment vertical="top"/>
    </xf>
    <xf numFmtId="187" fontId="66" fillId="57" borderId="25" xfId="0" applyNumberFormat="1" applyFont="1" applyFill="1" applyBorder="1" applyAlignment="1">
      <alignment vertical="top"/>
    </xf>
    <xf numFmtId="187" fontId="66" fillId="57" borderId="25" xfId="85" applyNumberFormat="1" applyFont="1" applyFill="1" applyBorder="1" applyAlignment="1">
      <alignment vertical="top"/>
    </xf>
    <xf numFmtId="0" fontId="66" fillId="57" borderId="25" xfId="0" applyFont="1" applyFill="1" applyBorder="1" applyAlignment="1">
      <alignment horizontal="right" vertical="top"/>
    </xf>
    <xf numFmtId="0" fontId="66" fillId="39" borderId="25" xfId="0" applyFont="1" applyFill="1" applyBorder="1" applyAlignment="1">
      <alignment vertical="top" wrapText="1"/>
    </xf>
    <xf numFmtId="0" fontId="66" fillId="39" borderId="25" xfId="86" applyFont="1" applyFill="1" applyBorder="1" applyAlignment="1">
      <alignment vertical="top" wrapText="1"/>
    </xf>
    <xf numFmtId="2" fontId="66" fillId="39" borderId="25" xfId="0" applyNumberFormat="1" applyFont="1" applyFill="1" applyBorder="1" applyAlignment="1">
      <alignment vertical="top" wrapText="1"/>
    </xf>
    <xf numFmtId="187" fontId="66" fillId="39" borderId="25" xfId="85" applyNumberFormat="1" applyFont="1" applyFill="1" applyBorder="1" applyAlignment="1">
      <alignment vertical="top" wrapText="1"/>
    </xf>
    <xf numFmtId="0" fontId="66" fillId="57" borderId="25" xfId="0" applyFont="1" applyFill="1" applyBorder="1" applyAlignment="1">
      <alignment vertical="top" wrapText="1"/>
    </xf>
    <xf numFmtId="0" fontId="66" fillId="57" borderId="25" xfId="86" applyFont="1" applyFill="1" applyBorder="1" applyAlignment="1">
      <alignment vertical="top" wrapText="1"/>
    </xf>
    <xf numFmtId="2" fontId="66" fillId="57" borderId="25" xfId="0" applyNumberFormat="1" applyFont="1" applyFill="1" applyBorder="1" applyAlignment="1">
      <alignment vertical="top" wrapText="1"/>
    </xf>
    <xf numFmtId="0" fontId="67" fillId="0" borderId="25" xfId="86" applyFont="1" applyFill="1" applyBorder="1" applyAlignment="1">
      <alignment vertical="top" wrapText="1"/>
    </xf>
    <xf numFmtId="0" fontId="81" fillId="0" borderId="25" xfId="0" applyFont="1" applyBorder="1"/>
    <xf numFmtId="0" fontId="0" fillId="41" borderId="25" xfId="0" applyFill="1" applyBorder="1" applyAlignment="1">
      <alignment wrapText="1"/>
    </xf>
    <xf numFmtId="0" fontId="66" fillId="41" borderId="25" xfId="86" applyFont="1" applyFill="1" applyBorder="1" applyAlignment="1">
      <alignment vertical="top" wrapText="1"/>
    </xf>
    <xf numFmtId="2" fontId="66" fillId="41" borderId="25" xfId="0" applyNumberFormat="1" applyFont="1" applyFill="1" applyBorder="1"/>
    <xf numFmtId="0" fontId="0" fillId="48" borderId="25" xfId="0" applyFill="1" applyBorder="1" applyAlignment="1">
      <alignment wrapText="1"/>
    </xf>
    <xf numFmtId="0" fontId="66" fillId="48" borderId="25" xfId="86" applyFont="1" applyFill="1" applyBorder="1" applyAlignment="1">
      <alignment vertical="top" wrapText="1"/>
    </xf>
    <xf numFmtId="2" fontId="66" fillId="48" borderId="25" xfId="0" applyNumberFormat="1" applyFont="1" applyFill="1" applyBorder="1"/>
    <xf numFmtId="0" fontId="66" fillId="48" borderId="25" xfId="0" applyFont="1" applyFill="1" applyBorder="1"/>
    <xf numFmtId="0" fontId="0" fillId="52" borderId="25" xfId="0" applyFill="1" applyBorder="1"/>
    <xf numFmtId="0" fontId="66" fillId="52" borderId="25" xfId="86" applyFont="1" applyFill="1" applyBorder="1" applyAlignment="1">
      <alignment vertical="top" wrapText="1"/>
    </xf>
    <xf numFmtId="2" fontId="66" fillId="52" borderId="25" xfId="0" applyNumberFormat="1" applyFont="1" applyFill="1" applyBorder="1"/>
    <xf numFmtId="0" fontId="66" fillId="52" borderId="25" xfId="0" applyFont="1" applyFill="1" applyBorder="1"/>
    <xf numFmtId="0" fontId="0" fillId="50" borderId="25" xfId="0" applyFill="1" applyBorder="1"/>
    <xf numFmtId="0" fontId="66" fillId="50" borderId="25" xfId="86" applyFont="1" applyFill="1" applyBorder="1" applyAlignment="1">
      <alignment vertical="top" wrapText="1"/>
    </xf>
    <xf numFmtId="2" fontId="66" fillId="50" borderId="25" xfId="0" applyNumberFormat="1" applyFont="1" applyFill="1" applyBorder="1"/>
    <xf numFmtId="0" fontId="66" fillId="50" borderId="25" xfId="0" applyFont="1" applyFill="1" applyBorder="1"/>
    <xf numFmtId="0" fontId="0" fillId="53" borderId="25" xfId="0" applyFill="1" applyBorder="1"/>
    <xf numFmtId="0" fontId="66" fillId="53" borderId="25" xfId="86" applyFont="1" applyFill="1" applyBorder="1" applyAlignment="1">
      <alignment vertical="top" wrapText="1"/>
    </xf>
    <xf numFmtId="2" fontId="66" fillId="53" borderId="25" xfId="0" applyNumberFormat="1" applyFont="1" applyFill="1" applyBorder="1"/>
    <xf numFmtId="0" fontId="66" fillId="53" borderId="25" xfId="0" applyFont="1" applyFill="1" applyBorder="1"/>
    <xf numFmtId="0" fontId="66" fillId="3" borderId="0" xfId="0" applyFont="1" applyFill="1" applyAlignment="1">
      <alignment horizontal="right"/>
    </xf>
    <xf numFmtId="0" fontId="0" fillId="41" borderId="34" xfId="0" applyFill="1" applyBorder="1"/>
    <xf numFmtId="0" fontId="66" fillId="36" borderId="25" xfId="86" applyFont="1" applyFill="1" applyBorder="1" applyAlignment="1">
      <alignment wrapText="1"/>
    </xf>
    <xf numFmtId="0" fontId="68" fillId="0" borderId="25" xfId="86" applyFont="1" applyFill="1" applyBorder="1" applyAlignment="1">
      <alignment wrapText="1"/>
    </xf>
    <xf numFmtId="2" fontId="66" fillId="0" borderId="25" xfId="86" applyNumberFormat="1" applyFont="1" applyFill="1" applyBorder="1" applyAlignment="1">
      <alignment wrapText="1"/>
    </xf>
    <xf numFmtId="187" fontId="66" fillId="0" borderId="25" xfId="0" applyNumberFormat="1" applyFont="1" applyFill="1" applyBorder="1" applyAlignment="1">
      <alignment wrapText="1"/>
    </xf>
    <xf numFmtId="2" fontId="66" fillId="0" borderId="0" xfId="0" applyNumberFormat="1" applyFont="1" applyFill="1" applyAlignment="1">
      <alignment wrapText="1"/>
    </xf>
    <xf numFmtId="2" fontId="66" fillId="0" borderId="0" xfId="86" applyNumberFormat="1" applyFont="1" applyFill="1" applyBorder="1" applyAlignment="1">
      <alignment wrapText="1"/>
    </xf>
    <xf numFmtId="187" fontId="66" fillId="0" borderId="0" xfId="0" applyNumberFormat="1" applyFont="1" applyFill="1" applyBorder="1" applyAlignment="1">
      <alignment wrapText="1"/>
    </xf>
    <xf numFmtId="2" fontId="66" fillId="0" borderId="0" xfId="0" applyNumberFormat="1" applyFont="1" applyFill="1" applyBorder="1" applyAlignment="1">
      <alignment wrapText="1"/>
    </xf>
    <xf numFmtId="187" fontId="66" fillId="0" borderId="0" xfId="85" applyNumberFormat="1" applyFont="1" applyFill="1" applyBorder="1" applyAlignment="1">
      <alignment wrapText="1"/>
    </xf>
    <xf numFmtId="0" fontId="66" fillId="39" borderId="25" xfId="0" applyFont="1" applyFill="1" applyBorder="1" applyAlignment="1">
      <alignment wrapText="1"/>
    </xf>
    <xf numFmtId="0" fontId="66" fillId="39" borderId="25" xfId="86" applyFont="1" applyFill="1" applyBorder="1" applyAlignment="1">
      <alignment wrapText="1"/>
    </xf>
    <xf numFmtId="0" fontId="68" fillId="39" borderId="25" xfId="86" applyFont="1" applyFill="1" applyBorder="1" applyAlignment="1">
      <alignment wrapText="1"/>
    </xf>
    <xf numFmtId="2" fontId="66" fillId="39" borderId="25" xfId="0" applyNumberFormat="1" applyFont="1" applyFill="1" applyBorder="1" applyAlignment="1">
      <alignment wrapText="1"/>
    </xf>
    <xf numFmtId="187" fontId="66" fillId="39" borderId="25" xfId="0" applyNumberFormat="1" applyFont="1" applyFill="1" applyBorder="1" applyAlignment="1">
      <alignment wrapText="1"/>
    </xf>
    <xf numFmtId="187" fontId="66" fillId="39" borderId="25" xfId="85" applyNumberFormat="1" applyFont="1" applyFill="1" applyBorder="1" applyAlignment="1">
      <alignment wrapText="1"/>
    </xf>
    <xf numFmtId="0" fontId="66" fillId="41" borderId="25" xfId="0" applyFont="1" applyFill="1" applyBorder="1" applyAlignment="1">
      <alignment wrapText="1"/>
    </xf>
    <xf numFmtId="0" fontId="66" fillId="41" borderId="25" xfId="86" applyFont="1" applyFill="1" applyBorder="1" applyAlignment="1">
      <alignment wrapText="1"/>
    </xf>
    <xf numFmtId="0" fontId="68" fillId="41" borderId="25" xfId="86" applyFont="1" applyFill="1" applyBorder="1" applyAlignment="1">
      <alignment wrapText="1"/>
    </xf>
    <xf numFmtId="2" fontId="66" fillId="41" borderId="25" xfId="0" applyNumberFormat="1" applyFont="1" applyFill="1" applyBorder="1" applyAlignment="1">
      <alignment wrapText="1"/>
    </xf>
    <xf numFmtId="187" fontId="66" fillId="41" borderId="25" xfId="0" applyNumberFormat="1" applyFont="1" applyFill="1" applyBorder="1" applyAlignment="1">
      <alignment wrapText="1"/>
    </xf>
    <xf numFmtId="187" fontId="66" fillId="41" borderId="25" xfId="85" applyNumberFormat="1" applyFont="1" applyFill="1" applyBorder="1" applyAlignment="1">
      <alignment wrapText="1"/>
    </xf>
    <xf numFmtId="191" fontId="0" fillId="0" borderId="0" xfId="85" applyNumberFormat="1" applyFont="1" applyAlignment="1"/>
    <xf numFmtId="0" fontId="39" fillId="36" borderId="0" xfId="86" applyFont="1" applyFill="1"/>
    <xf numFmtId="0" fontId="0" fillId="0" borderId="0" xfId="0" applyFill="1" applyBorder="1" applyAlignment="1">
      <alignment vertical="top"/>
    </xf>
    <xf numFmtId="0" fontId="0" fillId="0" borderId="34" xfId="0" applyBorder="1"/>
    <xf numFmtId="41" fontId="0" fillId="0" borderId="34" xfId="85" applyFont="1" applyBorder="1" applyAlignment="1"/>
    <xf numFmtId="0" fontId="66" fillId="58" borderId="0" xfId="0" applyFont="1" applyFill="1"/>
    <xf numFmtId="0" fontId="79" fillId="0" borderId="0" xfId="0" applyFont="1"/>
    <xf numFmtId="0" fontId="0" fillId="0" borderId="34" xfId="0" applyBorder="1" applyAlignment="1">
      <alignment horizontal="right"/>
    </xf>
    <xf numFmtId="3" fontId="82" fillId="0" borderId="34" xfId="0" applyNumberFormat="1" applyFont="1" applyBorder="1" applyAlignment="1">
      <alignment horizontal="center" vertical="center" wrapText="1"/>
    </xf>
    <xf numFmtId="0" fontId="79" fillId="39" borderId="34" xfId="0" applyFont="1" applyFill="1" applyBorder="1"/>
    <xf numFmtId="0" fontId="0" fillId="0" borderId="42" xfId="0" applyFill="1" applyBorder="1" applyAlignment="1">
      <alignment horizontal="right"/>
    </xf>
    <xf numFmtId="9" fontId="0" fillId="39" borderId="34" xfId="18" applyFont="1" applyFill="1" applyBorder="1"/>
    <xf numFmtId="9" fontId="79" fillId="39" borderId="34" xfId="18" applyFont="1" applyFill="1" applyBorder="1"/>
    <xf numFmtId="0" fontId="39" fillId="36" borderId="0" xfId="0" applyFont="1" applyFill="1" applyAlignment="1">
      <alignment vertical="center"/>
    </xf>
    <xf numFmtId="0" fontId="39" fillId="36" borderId="43" xfId="0" applyFont="1" applyFill="1" applyBorder="1" applyAlignment="1">
      <alignment vertical="center"/>
    </xf>
    <xf numFmtId="0" fontId="39" fillId="41" borderId="43" xfId="0" applyFont="1" applyFill="1" applyBorder="1" applyAlignment="1">
      <alignment vertical="center"/>
    </xf>
    <xf numFmtId="0" fontId="79" fillId="36" borderId="43" xfId="0" applyFont="1" applyFill="1" applyBorder="1" applyAlignment="1">
      <alignment vertical="center"/>
    </xf>
    <xf numFmtId="41" fontId="39" fillId="36" borderId="43" xfId="85" applyFont="1" applyFill="1" applyBorder="1">
      <alignment vertical="center"/>
    </xf>
    <xf numFmtId="41" fontId="0" fillId="0" borderId="0" xfId="85" applyFont="1">
      <alignment vertical="center"/>
    </xf>
    <xf numFmtId="0" fontId="83" fillId="58" borderId="0" xfId="0" applyFont="1" applyFill="1"/>
    <xf numFmtId="190" fontId="0" fillId="0" borderId="0" xfId="18" applyNumberFormat="1" applyFont="1"/>
    <xf numFmtId="41" fontId="0" fillId="39" borderId="34" xfId="85" applyFont="1" applyFill="1" applyBorder="1" applyAlignment="1"/>
    <xf numFmtId="41" fontId="0" fillId="39" borderId="34" xfId="0" applyNumberFormat="1" applyFill="1" applyBorder="1"/>
    <xf numFmtId="11" fontId="0" fillId="0" borderId="34" xfId="0" applyNumberFormat="1" applyFill="1" applyBorder="1"/>
    <xf numFmtId="41" fontId="0" fillId="59" borderId="34" xfId="85" applyFont="1" applyFill="1" applyBorder="1" applyAlignment="1"/>
    <xf numFmtId="0" fontId="0" fillId="59" borderId="34" xfId="0" applyFill="1" applyBorder="1"/>
    <xf numFmtId="3" fontId="82" fillId="59" borderId="34" xfId="0" applyNumberFormat="1" applyFont="1" applyFill="1" applyBorder="1" applyAlignment="1">
      <alignment horizontal="center" vertical="center" wrapText="1"/>
    </xf>
    <xf numFmtId="0" fontId="82" fillId="59" borderId="34" xfId="0" applyFont="1" applyFill="1" applyBorder="1" applyAlignment="1">
      <alignment horizontal="center" vertical="center" wrapText="1"/>
    </xf>
    <xf numFmtId="0" fontId="79" fillId="59" borderId="34" xfId="0" applyFont="1" applyFill="1" applyBorder="1"/>
    <xf numFmtId="9" fontId="12" fillId="39" borderId="34" xfId="18" applyFont="1" applyFill="1" applyBorder="1"/>
    <xf numFmtId="9" fontId="39" fillId="39" borderId="34" xfId="18" applyFont="1" applyFill="1" applyBorder="1"/>
    <xf numFmtId="9" fontId="39"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41" fontId="39" fillId="39" borderId="34" xfId="85" applyFont="1" applyFill="1" applyBorder="1" applyAlignment="1"/>
    <xf numFmtId="0" fontId="0" fillId="36" borderId="0" xfId="0" applyFill="1" applyBorder="1"/>
    <xf numFmtId="0" fontId="66" fillId="36" borderId="0" xfId="0" applyFont="1" applyFill="1"/>
    <xf numFmtId="189" fontId="31" fillId="15" borderId="0" xfId="45" applyNumberFormat="1" applyBorder="1" applyAlignment="1"/>
    <xf numFmtId="189" fontId="31" fillId="15" borderId="0" xfId="45" applyNumberFormat="1" applyAlignment="1"/>
    <xf numFmtId="189" fontId="31" fillId="15" borderId="41" xfId="45" applyNumberFormat="1" applyBorder="1" applyAlignment="1"/>
    <xf numFmtId="0" fontId="38" fillId="36" borderId="27" xfId="87" applyFont="1" applyFill="1" applyBorder="1" applyAlignment="1">
      <alignment horizontal="left" vertical="center" wrapText="1" indent="2"/>
    </xf>
    <xf numFmtId="189" fontId="48" fillId="36" borderId="27" xfId="87" applyNumberFormat="1" applyFont="1" applyFill="1" applyBorder="1" applyAlignment="1">
      <alignment horizontal="right" vertical="center" wrapText="1"/>
    </xf>
    <xf numFmtId="11" fontId="31" fillId="15" borderId="34" xfId="45" applyNumberFormat="1" applyBorder="1"/>
    <xf numFmtId="0" fontId="0" fillId="45" borderId="34" xfId="0" applyFill="1" applyBorder="1"/>
    <xf numFmtId="0" fontId="61" fillId="0" borderId="26" xfId="86" applyFont="1" applyFill="1" applyBorder="1" applyAlignment="1">
      <alignment horizontal="left" vertical="top" wrapText="1"/>
    </xf>
    <xf numFmtId="0" fontId="61" fillId="0" borderId="0" xfId="86" applyFont="1" applyFill="1" applyBorder="1" applyAlignment="1">
      <alignment horizontal="left" vertical="top" wrapText="1"/>
    </xf>
    <xf numFmtId="0" fontId="61" fillId="0" borderId="27" xfId="86" applyFont="1" applyFill="1" applyBorder="1" applyAlignment="1">
      <alignment horizontal="left" vertical="top" wrapText="1"/>
    </xf>
    <xf numFmtId="0" fontId="36" fillId="36" borderId="0" xfId="89" applyFont="1" applyFill="1" applyAlignment="1">
      <alignment horizontal="center" wrapText="1"/>
    </xf>
    <xf numFmtId="0" fontId="36" fillId="36" borderId="0" xfId="89" applyFont="1" applyFill="1" applyAlignment="1">
      <alignment horizontal="center"/>
    </xf>
    <xf numFmtId="0" fontId="38" fillId="36" borderId="0" xfId="89" applyFont="1" applyFill="1" applyAlignment="1">
      <alignment horizontal="right" wrapText="1"/>
    </xf>
    <xf numFmtId="0" fontId="40" fillId="37" borderId="20" xfId="87" applyFont="1" applyFill="1" applyBorder="1" applyAlignment="1">
      <alignment horizontal="center" vertical="center" wrapText="1"/>
    </xf>
    <xf numFmtId="0" fontId="52" fillId="36" borderId="0" xfId="87" applyFont="1" applyFill="1" applyBorder="1" applyAlignment="1">
      <alignment horizontal="left" vertical="center" wrapText="1"/>
    </xf>
    <xf numFmtId="0" fontId="52" fillId="36" borderId="0" xfId="87" applyFont="1" applyFill="1" applyBorder="1" applyAlignment="1">
      <alignment horizontal="left" vertical="center"/>
    </xf>
    <xf numFmtId="0" fontId="36" fillId="36" borderId="0" xfId="86" applyFont="1" applyFill="1" applyAlignment="1">
      <alignment horizontal="center" wrapText="1"/>
    </xf>
    <xf numFmtId="0" fontId="36" fillId="36" borderId="0" xfId="86" applyFont="1" applyFill="1" applyAlignment="1">
      <alignment horizontal="center"/>
    </xf>
    <xf numFmtId="0" fontId="38" fillId="36" borderId="0" xfId="86" applyFont="1" applyFill="1" applyAlignment="1">
      <alignment horizontal="right" wrapText="1"/>
    </xf>
    <xf numFmtId="0" fontId="52" fillId="36" borderId="23" xfId="87" applyFont="1" applyFill="1" applyBorder="1" applyAlignment="1">
      <alignment horizontal="left" vertical="center" wrapText="1"/>
    </xf>
    <xf numFmtId="0" fontId="52" fillId="36" borderId="23" xfId="87" applyFont="1" applyFill="1" applyBorder="1" applyAlignment="1">
      <alignment horizontal="left" vertical="center"/>
    </xf>
    <xf numFmtId="0" fontId="36" fillId="36" borderId="0" xfId="88" applyFont="1" applyFill="1" applyAlignment="1">
      <alignment horizontal="center" wrapText="1"/>
    </xf>
    <xf numFmtId="0" fontId="36" fillId="36" borderId="0" xfId="88" applyFont="1" applyFill="1" applyAlignment="1">
      <alignment horizontal="center"/>
    </xf>
    <xf numFmtId="0" fontId="38" fillId="36" borderId="0" xfId="88" applyFont="1" applyFill="1" applyAlignment="1">
      <alignment horizontal="right" wrapText="1"/>
    </xf>
    <xf numFmtId="0" fontId="69" fillId="39" borderId="28" xfId="87" applyFont="1" applyFill="1" applyBorder="1" applyAlignment="1">
      <alignment horizontal="center" vertical="center"/>
    </xf>
    <xf numFmtId="0" fontId="69" fillId="42" borderId="28" xfId="87" applyFont="1" applyFill="1" applyBorder="1" applyAlignment="1">
      <alignment horizontal="center" vertical="center"/>
    </xf>
    <xf numFmtId="0" fontId="69" fillId="44" borderId="28" xfId="87"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38" xfId="0" applyFill="1" applyBorder="1" applyAlignment="1">
      <alignment horizontal="center"/>
    </xf>
    <xf numFmtId="0" fontId="0" fillId="0" borderId="25" xfId="0" applyFill="1" applyBorder="1" applyAlignment="1">
      <alignment horizontal="center"/>
    </xf>
    <xf numFmtId="0" fontId="0" fillId="0" borderId="39" xfId="0" applyFill="1" applyBorder="1" applyAlignment="1">
      <alignment horizontal="center"/>
    </xf>
    <xf numFmtId="0" fontId="0" fillId="0" borderId="35" xfId="0" applyFill="1" applyBorder="1" applyAlignment="1">
      <alignment horizontal="center" vertical="center"/>
    </xf>
    <xf numFmtId="0" fontId="0" fillId="0" borderId="40" xfId="0" applyFill="1" applyBorder="1" applyAlignment="1">
      <alignment horizontal="center" vertical="center"/>
    </xf>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cellXfs>
  <cellStyles count="90">
    <cellStyle name="20% - Accent1 2" xfId="68" xr:uid="{00000000-0005-0000-0000-000001000000}"/>
    <cellStyle name="20% - Accent2 2" xfId="70" xr:uid="{00000000-0005-0000-0000-000003000000}"/>
    <cellStyle name="20% - Accent3 2" xfId="72" xr:uid="{00000000-0005-0000-0000-000005000000}"/>
    <cellStyle name="20% - Accent4 2" xfId="74" xr:uid="{00000000-0005-0000-0000-000007000000}"/>
    <cellStyle name="20% - Accent5 2" xfId="76" xr:uid="{00000000-0005-0000-0000-000009000000}"/>
    <cellStyle name="20% - Accent6 2" xfId="78" xr:uid="{00000000-0005-0000-0000-00000B000000}"/>
    <cellStyle name="20% - 강조색1" xfId="43" builtinId="30" customBuiltin="1"/>
    <cellStyle name="20% - 강조색2" xfId="46" builtinId="34" customBuiltin="1"/>
    <cellStyle name="20% - 강조색3" xfId="49" builtinId="38" customBuiltin="1"/>
    <cellStyle name="20% - 강조색4" xfId="52" builtinId="42" customBuiltin="1"/>
    <cellStyle name="20% - 강조색5" xfId="55" builtinId="46" customBuiltin="1"/>
    <cellStyle name="20% - 강조색6" xfId="58" builtinId="50" customBuiltin="1"/>
    <cellStyle name="40% - Accent1 2" xfId="69" xr:uid="{00000000-0005-0000-0000-00000D000000}"/>
    <cellStyle name="40% - Accent2 2" xfId="71" xr:uid="{00000000-0005-0000-0000-00000F000000}"/>
    <cellStyle name="40% - Accent3 2" xfId="73" xr:uid="{00000000-0005-0000-0000-000011000000}"/>
    <cellStyle name="40% - Accent4 2" xfId="75" xr:uid="{00000000-0005-0000-0000-000013000000}"/>
    <cellStyle name="40% - Accent5 2" xfId="77" xr:uid="{00000000-0005-0000-0000-000015000000}"/>
    <cellStyle name="40% - Accent6 2" xfId="79" xr:uid="{00000000-0005-0000-0000-000017000000}"/>
    <cellStyle name="40% - 강조색1" xfId="44" builtinId="31" customBuiltin="1"/>
    <cellStyle name="40% - 강조색2" xfId="47" builtinId="35" customBuiltin="1"/>
    <cellStyle name="40% - 강조색3" xfId="50" builtinId="39" customBuiltin="1"/>
    <cellStyle name="40% - 강조색4" xfId="53" builtinId="43" customBuiltin="1"/>
    <cellStyle name="40% - 강조색5" xfId="56" builtinId="47" customBuiltin="1"/>
    <cellStyle name="40% - 강조색6" xfId="59" builtinId="51" customBuiltin="1"/>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Body: normal cell" xfId="2" xr:uid="{00000000-0005-0000-0000-000025000000}"/>
    <cellStyle name="Body: normal cell 2" xfId="24" xr:uid="{00000000-0005-0000-0000-000026000000}"/>
    <cellStyle name="Comma 2" xfId="84" xr:uid="{B0EABCB8-8FF6-4E8E-9CBF-73B9F155E41F}"/>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Header: bottom row" xfId="1" xr:uid="{00000000-0005-0000-0000-000031000000}"/>
    <cellStyle name="Header: bottom row 2" xfId="21" xr:uid="{00000000-0005-0000-0000-000032000000}"/>
    <cellStyle name="Header: top rows" xfId="3" xr:uid="{00000000-0005-0000-0000-000033000000}"/>
    <cellStyle name="Neutral 2" xfId="60" xr:uid="{00000000-0005-0000-0000-00003B00000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3" xr:uid="{EA7BF279-956F-47C2-9A73-0954A56A37C4}"/>
    <cellStyle name="Normal 5" xfId="15" xr:uid="{00000000-0005-0000-0000-000040000000}"/>
    <cellStyle name="Normal 58" xfId="17" xr:uid="{00000000-0005-0000-0000-000041000000}"/>
    <cellStyle name="Normal 6" xfId="16" xr:uid="{00000000-0005-0000-0000-000042000000}"/>
    <cellStyle name="Normal_Sheet1" xfId="82" xr:uid="{5E06A2F3-B2F3-4156-8F16-530C94C0767C}"/>
    <cellStyle name="Note 2" xfId="67" xr:uid="{00000000-0005-0000-0000-000044000000}"/>
    <cellStyle name="Parent row" xfId="5" xr:uid="{00000000-0005-0000-0000-000046000000}"/>
    <cellStyle name="Parent row 2" xfId="23" xr:uid="{00000000-0005-0000-0000-000047000000}"/>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강조색1" xfId="42" builtinId="29" customBuiltin="1"/>
    <cellStyle name="강조색2" xfId="45" builtinId="33" customBuiltin="1"/>
    <cellStyle name="강조색3" xfId="48" builtinId="37" customBuiltin="1"/>
    <cellStyle name="강조색4" xfId="51" builtinId="41" customBuiltin="1"/>
    <cellStyle name="강조색5" xfId="54" builtinId="45" customBuiltin="1"/>
    <cellStyle name="강조색6" xfId="57" builtinId="49" customBuiltin="1"/>
    <cellStyle name="경고문" xfId="38" builtinId="11" customBuiltin="1"/>
    <cellStyle name="계산" xfId="35" builtinId="22" customBuiltin="1"/>
    <cellStyle name="나쁨" xfId="32" builtinId="27" customBuiltin="1"/>
    <cellStyle name="메모" xfId="39" builtinId="10" customBuiltin="1"/>
    <cellStyle name="백분율" xfId="18" builtinId="5"/>
    <cellStyle name="설명 텍스트" xfId="40" builtinId="53" customBuiltin="1"/>
    <cellStyle name="셀 확인" xfId="37" builtinId="23" customBuiltin="1"/>
    <cellStyle name="쉼표 [0]" xfId="85" builtinId="6"/>
    <cellStyle name="연결된 셀" xfId="36" builtinId="24" customBuiltin="1"/>
    <cellStyle name="열어 본 하이퍼링크" xfId="10" builtinId="9" customBuiltin="1"/>
    <cellStyle name="요약" xfId="41" builtinId="25" customBuiltin="1"/>
    <cellStyle name="입력" xfId="33" builtinId="20" customBuiltin="1"/>
    <cellStyle name="제목" xfId="26" builtinId="15" customBuiltin="1"/>
    <cellStyle name="제목 1" xfId="27" builtinId="16" customBuiltin="1"/>
    <cellStyle name="제목 2" xfId="28" builtinId="17" customBuiltin="1"/>
    <cellStyle name="제목 3" xfId="29" builtinId="18" customBuiltin="1"/>
    <cellStyle name="제목 4" xfId="30" builtinId="19" customBuiltin="1"/>
    <cellStyle name="좋음" xfId="31" builtinId="26" customBuiltin="1"/>
    <cellStyle name="출력" xfId="34" builtinId="21" customBuiltin="1"/>
    <cellStyle name="표준" xfId="0" builtinId="0"/>
    <cellStyle name="표준 2" xfId="86" xr:uid="{DA2BF1F1-4027-499C-BE3C-4B85B9EC0FDB}"/>
    <cellStyle name="표준 2 2" xfId="89" xr:uid="{96FE3BA5-5011-4CBD-8B8D-3987B71F9590}"/>
    <cellStyle name="표준 3" xfId="87" xr:uid="{A9F49CC7-6DA6-42DE-89EF-87CBB8D6650B}"/>
    <cellStyle name="표준 4" xfId="88" xr:uid="{136112E7-7FAA-4FE4-8445-0AE2130C5A23}"/>
    <cellStyle name="하이퍼링크" xfId="9" builtinId="8"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9B9B"/>
      <color rgb="FFAC0000"/>
      <color rgb="FFFFC1C1"/>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54056671663803.742</c:v>
                </c:pt>
                <c:pt idx="1">
                  <c:v>56043161122822.438</c:v>
                </c:pt>
                <c:pt idx="2">
                  <c:v>58029650581841.125</c:v>
                </c:pt>
                <c:pt idx="3">
                  <c:v>60016140040859.813</c:v>
                </c:pt>
                <c:pt idx="4">
                  <c:v>62002629499878.508</c:v>
                </c:pt>
                <c:pt idx="5">
                  <c:v>63989118958897.195</c:v>
                </c:pt>
                <c:pt idx="6">
                  <c:v>64504454516536.094</c:v>
                </c:pt>
                <c:pt idx="7">
                  <c:v>65019790074174.984</c:v>
                </c:pt>
                <c:pt idx="8">
                  <c:v>65535125631813.875</c:v>
                </c:pt>
                <c:pt idx="9">
                  <c:v>66050461189452.773</c:v>
                </c:pt>
                <c:pt idx="10">
                  <c:v>66565796747091.664</c:v>
                </c:pt>
                <c:pt idx="11">
                  <c:v>66838049494523.531</c:v>
                </c:pt>
                <c:pt idx="12">
                  <c:v>67110302241955.398</c:v>
                </c:pt>
                <c:pt idx="13">
                  <c:v>67382554989387.266</c:v>
                </c:pt>
                <c:pt idx="14">
                  <c:v>67654807736819.133</c:v>
                </c:pt>
                <c:pt idx="15">
                  <c:v>67927060484251.008</c:v>
                </c:pt>
                <c:pt idx="16">
                  <c:v>68121526732416.625</c:v>
                </c:pt>
                <c:pt idx="17">
                  <c:v>68315992980582.242</c:v>
                </c:pt>
                <c:pt idx="18">
                  <c:v>68510459228747.859</c:v>
                </c:pt>
                <c:pt idx="19">
                  <c:v>68704925476913.484</c:v>
                </c:pt>
                <c:pt idx="20">
                  <c:v>68899391725079.086</c:v>
                </c:pt>
                <c:pt idx="21">
                  <c:v>69197573305599.758</c:v>
                </c:pt>
                <c:pt idx="22">
                  <c:v>69425039886787.375</c:v>
                </c:pt>
                <c:pt idx="23">
                  <c:v>69652506467975.055</c:v>
                </c:pt>
                <c:pt idx="24">
                  <c:v>69879973049162.727</c:v>
                </c:pt>
                <c:pt idx="25">
                  <c:v>70107439630350.406</c:v>
                </c:pt>
                <c:pt idx="26">
                  <c:v>70334906211538.023</c:v>
                </c:pt>
                <c:pt idx="27">
                  <c:v>70562372792725.703</c:v>
                </c:pt>
                <c:pt idx="28">
                  <c:v>70789839373913.375</c:v>
                </c:pt>
                <c:pt idx="29">
                  <c:v>71017305955101.063</c:v>
                </c:pt>
                <c:pt idx="30">
                  <c:v>71244772536288.734</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4662339393723.8271</c:v>
                </c:pt>
                <c:pt idx="1">
                  <c:v>4833672325902.8828</c:v>
                </c:pt>
                <c:pt idx="2">
                  <c:v>5005005258081.9385</c:v>
                </c:pt>
                <c:pt idx="3">
                  <c:v>5176338190260.9941</c:v>
                </c:pt>
                <c:pt idx="4">
                  <c:v>5347671122440.0508</c:v>
                </c:pt>
                <c:pt idx="5">
                  <c:v>5519004054619.1055</c:v>
                </c:pt>
                <c:pt idx="6">
                  <c:v>5563451283747.6299</c:v>
                </c:pt>
                <c:pt idx="7">
                  <c:v>5607898512876.1533</c:v>
                </c:pt>
                <c:pt idx="8">
                  <c:v>5652345742004.6768</c:v>
                </c:pt>
                <c:pt idx="9">
                  <c:v>5696792971133.2002</c:v>
                </c:pt>
                <c:pt idx="10">
                  <c:v>5741240200261.7236</c:v>
                </c:pt>
                <c:pt idx="11">
                  <c:v>5764721755273.0195</c:v>
                </c:pt>
                <c:pt idx="12">
                  <c:v>5788203310284.3145</c:v>
                </c:pt>
                <c:pt idx="13">
                  <c:v>5811684865295.6104</c:v>
                </c:pt>
                <c:pt idx="14">
                  <c:v>5835166420306.9053</c:v>
                </c:pt>
                <c:pt idx="15">
                  <c:v>5858647975318.2012</c:v>
                </c:pt>
                <c:pt idx="16">
                  <c:v>5875420514611.9834</c:v>
                </c:pt>
                <c:pt idx="17">
                  <c:v>5892193053905.7656</c:v>
                </c:pt>
                <c:pt idx="18">
                  <c:v>5908965593199.5479</c:v>
                </c:pt>
                <c:pt idx="19">
                  <c:v>5925738132493.3301</c:v>
                </c:pt>
                <c:pt idx="20">
                  <c:v>5942510671787.1113</c:v>
                </c:pt>
                <c:pt idx="21">
                  <c:v>5968228565370.916</c:v>
                </c:pt>
                <c:pt idx="22">
                  <c:v>5987847353756.9727</c:v>
                </c:pt>
                <c:pt idx="23">
                  <c:v>6007466142143.0342</c:v>
                </c:pt>
                <c:pt idx="24">
                  <c:v>6027084930529.0957</c:v>
                </c:pt>
                <c:pt idx="25">
                  <c:v>6046703718915.1582</c:v>
                </c:pt>
                <c:pt idx="26">
                  <c:v>6066322507301.2139</c:v>
                </c:pt>
                <c:pt idx="27">
                  <c:v>6085941295687.2764</c:v>
                </c:pt>
                <c:pt idx="28">
                  <c:v>6105560084073.3379</c:v>
                </c:pt>
                <c:pt idx="29">
                  <c:v>6125178872459.3994</c:v>
                </c:pt>
                <c:pt idx="30">
                  <c:v>6144797660845.4609</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42826280355774.883</c:v>
                </c:pt>
                <c:pt idx="1">
                  <c:v>44400072301842.688</c:v>
                </c:pt>
                <c:pt idx="2">
                  <c:v>45973864247910.492</c:v>
                </c:pt>
                <c:pt idx="3">
                  <c:v>47547656193978.297</c:v>
                </c:pt>
                <c:pt idx="4">
                  <c:v>49121448140046.102</c:v>
                </c:pt>
                <c:pt idx="5">
                  <c:v>50695240086113.906</c:v>
                </c:pt>
                <c:pt idx="6">
                  <c:v>51103513558924.125</c:v>
                </c:pt>
                <c:pt idx="7">
                  <c:v>51511787031734.344</c:v>
                </c:pt>
                <c:pt idx="8">
                  <c:v>51920060504544.563</c:v>
                </c:pt>
                <c:pt idx="9">
                  <c:v>52328333977354.773</c:v>
                </c:pt>
                <c:pt idx="10">
                  <c:v>52736607450164.992</c:v>
                </c:pt>
                <c:pt idx="11">
                  <c:v>52952299096177.938</c:v>
                </c:pt>
                <c:pt idx="12">
                  <c:v>53167990742190.883</c:v>
                </c:pt>
                <c:pt idx="13">
                  <c:v>53383682388203.828</c:v>
                </c:pt>
                <c:pt idx="14">
                  <c:v>53599374034216.773</c:v>
                </c:pt>
                <c:pt idx="15">
                  <c:v>53815065680229.727</c:v>
                </c:pt>
                <c:pt idx="16">
                  <c:v>53969131141667.531</c:v>
                </c:pt>
                <c:pt idx="17">
                  <c:v>54123196603105.352</c:v>
                </c:pt>
                <c:pt idx="18">
                  <c:v>54277262064543.172</c:v>
                </c:pt>
                <c:pt idx="19">
                  <c:v>54431327525980.984</c:v>
                </c:pt>
                <c:pt idx="20">
                  <c:v>54585392987418.797</c:v>
                </c:pt>
                <c:pt idx="21">
                  <c:v>54821626694956.828</c:v>
                </c:pt>
                <c:pt idx="22">
                  <c:v>55001836598335.57</c:v>
                </c:pt>
                <c:pt idx="23">
                  <c:v>55182046501714.359</c:v>
                </c:pt>
                <c:pt idx="24">
                  <c:v>55362256405093.148</c:v>
                </c:pt>
                <c:pt idx="25">
                  <c:v>55542466308471.938</c:v>
                </c:pt>
                <c:pt idx="26">
                  <c:v>55722676211850.68</c:v>
                </c:pt>
                <c:pt idx="27">
                  <c:v>55902886115229.477</c:v>
                </c:pt>
                <c:pt idx="28">
                  <c:v>56083096018608.266</c:v>
                </c:pt>
                <c:pt idx="29">
                  <c:v>56263305921987.055</c:v>
                </c:pt>
                <c:pt idx="30">
                  <c:v>56443515825365.844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32269617358653.113</c:v>
                </c:pt>
                <c:pt idx="1">
                  <c:v>33455470145302.844</c:v>
                </c:pt>
                <c:pt idx="2">
                  <c:v>34641322931952.57</c:v>
                </c:pt>
                <c:pt idx="3">
                  <c:v>35827175718602.297</c:v>
                </c:pt>
                <c:pt idx="4">
                  <c:v>37013028505252.023</c:v>
                </c:pt>
                <c:pt idx="5">
                  <c:v>38198881291901.75</c:v>
                </c:pt>
                <c:pt idx="6">
                  <c:v>38506515497717.094</c:v>
                </c:pt>
                <c:pt idx="7">
                  <c:v>38814149703532.445</c:v>
                </c:pt>
                <c:pt idx="8">
                  <c:v>39121783909347.789</c:v>
                </c:pt>
                <c:pt idx="9">
                  <c:v>39429418115163.133</c:v>
                </c:pt>
                <c:pt idx="10">
                  <c:v>39737052320978.484</c:v>
                </c:pt>
                <c:pt idx="11">
                  <c:v>39899576052352.625</c:v>
                </c:pt>
                <c:pt idx="12">
                  <c:v>40062099783726.773</c:v>
                </c:pt>
                <c:pt idx="13">
                  <c:v>40224623515100.914</c:v>
                </c:pt>
                <c:pt idx="14">
                  <c:v>40387147246475.063</c:v>
                </c:pt>
                <c:pt idx="15">
                  <c:v>40549670977849.211</c:v>
                </c:pt>
                <c:pt idx="16">
                  <c:v>40665759357402.172</c:v>
                </c:pt>
                <c:pt idx="17">
                  <c:v>40781847736955.133</c:v>
                </c:pt>
                <c:pt idx="18">
                  <c:v>40897936116508.086</c:v>
                </c:pt>
                <c:pt idx="19">
                  <c:v>41014024496061.047</c:v>
                </c:pt>
                <c:pt idx="20">
                  <c:v>41130112875614</c:v>
                </c:pt>
                <c:pt idx="21">
                  <c:v>41308115057595.242</c:v>
                </c:pt>
                <c:pt idx="22">
                  <c:v>41443903283375.344</c:v>
                </c:pt>
                <c:pt idx="23">
                  <c:v>41579691509155.484</c:v>
                </c:pt>
                <c:pt idx="24">
                  <c:v>41715479734935.617</c:v>
                </c:pt>
                <c:pt idx="25">
                  <c:v>41851267960715.758</c:v>
                </c:pt>
                <c:pt idx="26">
                  <c:v>41987056186495.859</c:v>
                </c:pt>
                <c:pt idx="27">
                  <c:v>42122844412275.992</c:v>
                </c:pt>
                <c:pt idx="28">
                  <c:v>42258632638056.133</c:v>
                </c:pt>
                <c:pt idx="29">
                  <c:v>42394420863836.273</c:v>
                </c:pt>
                <c:pt idx="30">
                  <c:v>42530209089616.406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5418413083152.9258</c:v>
                </c:pt>
                <c:pt idx="1">
                  <c:v>5617530419514.9346</c:v>
                </c:pt>
                <c:pt idx="2">
                  <c:v>5816647755876.9424</c:v>
                </c:pt>
                <c:pt idx="3">
                  <c:v>6015765092238.9502</c:v>
                </c:pt>
                <c:pt idx="4">
                  <c:v>6214882428600.959</c:v>
                </c:pt>
                <c:pt idx="5">
                  <c:v>6413999764962.9668</c:v>
                </c:pt>
                <c:pt idx="6">
                  <c:v>6465654830689.0029</c:v>
                </c:pt>
                <c:pt idx="7">
                  <c:v>6517309896415.0381</c:v>
                </c:pt>
                <c:pt idx="8">
                  <c:v>6568964962141.0732</c:v>
                </c:pt>
                <c:pt idx="9">
                  <c:v>6620620027867.1084</c:v>
                </c:pt>
                <c:pt idx="10">
                  <c:v>6672275093593.1436</c:v>
                </c:pt>
                <c:pt idx="11">
                  <c:v>6699564562278.5957</c:v>
                </c:pt>
                <c:pt idx="12">
                  <c:v>6726854030964.0488</c:v>
                </c:pt>
                <c:pt idx="13">
                  <c:v>6754143499649.501</c:v>
                </c:pt>
                <c:pt idx="14">
                  <c:v>6781432968334.9531</c:v>
                </c:pt>
                <c:pt idx="15">
                  <c:v>6808722437020.4072</c:v>
                </c:pt>
                <c:pt idx="16">
                  <c:v>6828214914652.8721</c:v>
                </c:pt>
                <c:pt idx="17">
                  <c:v>6847707392285.3379</c:v>
                </c:pt>
                <c:pt idx="18">
                  <c:v>6867199869917.8047</c:v>
                </c:pt>
                <c:pt idx="19">
                  <c:v>6886692347550.2705</c:v>
                </c:pt>
                <c:pt idx="20">
                  <c:v>6906184825182.7354</c:v>
                </c:pt>
                <c:pt idx="21">
                  <c:v>6936073290885.8555</c:v>
                </c:pt>
                <c:pt idx="22">
                  <c:v>6958873582904.4316</c:v>
                </c:pt>
                <c:pt idx="23">
                  <c:v>6981673874923.0146</c:v>
                </c:pt>
                <c:pt idx="24">
                  <c:v>7004474166941.5977</c:v>
                </c:pt>
                <c:pt idx="25">
                  <c:v>7027274458960.1807</c:v>
                </c:pt>
                <c:pt idx="26">
                  <c:v>7050074750978.7568</c:v>
                </c:pt>
                <c:pt idx="27">
                  <c:v>7072875042997.3398</c:v>
                </c:pt>
                <c:pt idx="28">
                  <c:v>7095675335015.9229</c:v>
                </c:pt>
                <c:pt idx="29">
                  <c:v>7118475627034.5059</c:v>
                </c:pt>
                <c:pt idx="30">
                  <c:v>7141275919053.0889</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30934038521919.098</c:v>
                </c:pt>
                <c:pt idx="1">
                  <c:v>32070811089620.813</c:v>
                </c:pt>
                <c:pt idx="2">
                  <c:v>33207583657322.52</c:v>
                </c:pt>
                <c:pt idx="3">
                  <c:v>34344356225024.227</c:v>
                </c:pt>
                <c:pt idx="4">
                  <c:v>35481128792725.938</c:v>
                </c:pt>
                <c:pt idx="5">
                  <c:v>36617901360427.641</c:v>
                </c:pt>
                <c:pt idx="6">
                  <c:v>36912803164424.406</c:v>
                </c:pt>
                <c:pt idx="7">
                  <c:v>37207704968421.164</c:v>
                </c:pt>
                <c:pt idx="8">
                  <c:v>37502606772417.922</c:v>
                </c:pt>
                <c:pt idx="9">
                  <c:v>37797508576414.68</c:v>
                </c:pt>
                <c:pt idx="10">
                  <c:v>38092410380411.438</c:v>
                </c:pt>
                <c:pt idx="11">
                  <c:v>38248207559881.422</c:v>
                </c:pt>
                <c:pt idx="12">
                  <c:v>38404004739351.414</c:v>
                </c:pt>
                <c:pt idx="13">
                  <c:v>38559801918821.398</c:v>
                </c:pt>
                <c:pt idx="14">
                  <c:v>38715599098291.383</c:v>
                </c:pt>
                <c:pt idx="15">
                  <c:v>38871396277761.375</c:v>
                </c:pt>
                <c:pt idx="16">
                  <c:v>38982679977382.781</c:v>
                </c:pt>
                <c:pt idx="17">
                  <c:v>39093963677004.203</c:v>
                </c:pt>
                <c:pt idx="18">
                  <c:v>39205247376625.625</c:v>
                </c:pt>
                <c:pt idx="19">
                  <c:v>39316531076247.039</c:v>
                </c:pt>
                <c:pt idx="20">
                  <c:v>39427814775868.445</c:v>
                </c:pt>
                <c:pt idx="21">
                  <c:v>39598449781954.656</c:v>
                </c:pt>
                <c:pt idx="22">
                  <c:v>39728617988178.469</c:v>
                </c:pt>
                <c:pt idx="23">
                  <c:v>39858786194402.32</c:v>
                </c:pt>
                <c:pt idx="24">
                  <c:v>39988954400626.164</c:v>
                </c:pt>
                <c:pt idx="25">
                  <c:v>40119122606850.016</c:v>
                </c:pt>
                <c:pt idx="26">
                  <c:v>40249290813073.828</c:v>
                </c:pt>
                <c:pt idx="27">
                  <c:v>40379459019297.672</c:v>
                </c:pt>
                <c:pt idx="28">
                  <c:v>40509627225521.523</c:v>
                </c:pt>
                <c:pt idx="29">
                  <c:v>40639795431745.367</c:v>
                </c:pt>
                <c:pt idx="30">
                  <c:v>40769963637969.219</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111993664482627.61</c:v>
                </c:pt>
                <c:pt idx="1">
                  <c:v>118639897908122.36</c:v>
                </c:pt>
                <c:pt idx="2">
                  <c:v>125286131333617.13</c:v>
                </c:pt>
                <c:pt idx="3">
                  <c:v>131932364759111.89</c:v>
                </c:pt>
                <c:pt idx="4">
                  <c:v>138578598184606.66</c:v>
                </c:pt>
                <c:pt idx="5">
                  <c:v>145224831610101.44</c:v>
                </c:pt>
                <c:pt idx="6">
                  <c:v>148355715210318.09</c:v>
                </c:pt>
                <c:pt idx="7">
                  <c:v>151486598810535.88</c:v>
                </c:pt>
                <c:pt idx="8">
                  <c:v>154617482410753.66</c:v>
                </c:pt>
                <c:pt idx="9">
                  <c:v>157748366010971.44</c:v>
                </c:pt>
                <c:pt idx="10">
                  <c:v>160879249611190.31</c:v>
                </c:pt>
                <c:pt idx="11">
                  <c:v>163646687982291.91</c:v>
                </c:pt>
                <c:pt idx="12">
                  <c:v>166414126353393.5</c:v>
                </c:pt>
                <c:pt idx="13">
                  <c:v>169181564724495.06</c:v>
                </c:pt>
                <c:pt idx="14">
                  <c:v>171949003095596.66</c:v>
                </c:pt>
                <c:pt idx="15">
                  <c:v>174716441466698.25</c:v>
                </c:pt>
                <c:pt idx="16">
                  <c:v>177321862085060.19</c:v>
                </c:pt>
                <c:pt idx="17">
                  <c:v>179927282703423.22</c:v>
                </c:pt>
                <c:pt idx="18">
                  <c:v>182532703321786.28</c:v>
                </c:pt>
                <c:pt idx="19">
                  <c:v>185138123940149.31</c:v>
                </c:pt>
                <c:pt idx="20">
                  <c:v>187743544558513.47</c:v>
                </c:pt>
                <c:pt idx="21">
                  <c:v>190564988847192.72</c:v>
                </c:pt>
                <c:pt idx="22">
                  <c:v>193239144269748.44</c:v>
                </c:pt>
                <c:pt idx="23">
                  <c:v>195913299692303.06</c:v>
                </c:pt>
                <c:pt idx="24">
                  <c:v>198587455114857.69</c:v>
                </c:pt>
                <c:pt idx="25">
                  <c:v>201261610537413.41</c:v>
                </c:pt>
                <c:pt idx="26">
                  <c:v>203935765959968.03</c:v>
                </c:pt>
                <c:pt idx="27">
                  <c:v>206609921382523.75</c:v>
                </c:pt>
                <c:pt idx="28">
                  <c:v>209284076805078.38</c:v>
                </c:pt>
                <c:pt idx="29">
                  <c:v>211958232227632.97</c:v>
                </c:pt>
                <c:pt idx="30">
                  <c:v>214632387650188.69</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90858102826993.719</c:v>
                </c:pt>
                <c:pt idx="1">
                  <c:v>96250052119620.688</c:v>
                </c:pt>
                <c:pt idx="2">
                  <c:v>101642001412247.66</c:v>
                </c:pt>
                <c:pt idx="3">
                  <c:v>107033950704874.63</c:v>
                </c:pt>
                <c:pt idx="4">
                  <c:v>112425899997501.61</c:v>
                </c:pt>
                <c:pt idx="5">
                  <c:v>117817849290128.58</c:v>
                </c:pt>
                <c:pt idx="6">
                  <c:v>120357869258239.91</c:v>
                </c:pt>
                <c:pt idx="7">
                  <c:v>122897889226352.13</c:v>
                </c:pt>
                <c:pt idx="8">
                  <c:v>125437909194464.36</c:v>
                </c:pt>
                <c:pt idx="9">
                  <c:v>127977929162576.58</c:v>
                </c:pt>
                <c:pt idx="10">
                  <c:v>130517949130689.7</c:v>
                </c:pt>
                <c:pt idx="11">
                  <c:v>132763113633972.11</c:v>
                </c:pt>
                <c:pt idx="12">
                  <c:v>135008278137254.53</c:v>
                </c:pt>
                <c:pt idx="13">
                  <c:v>137253442640536.94</c:v>
                </c:pt>
                <c:pt idx="14">
                  <c:v>139498607143819.36</c:v>
                </c:pt>
                <c:pt idx="15">
                  <c:v>141743771647101.78</c:v>
                </c:pt>
                <c:pt idx="16">
                  <c:v>143857494557627.84</c:v>
                </c:pt>
                <c:pt idx="17">
                  <c:v>145971217468154.78</c:v>
                </c:pt>
                <c:pt idx="18">
                  <c:v>148084940378681.75</c:v>
                </c:pt>
                <c:pt idx="19">
                  <c:v>150198663289208.69</c:v>
                </c:pt>
                <c:pt idx="20">
                  <c:v>152312386199736.56</c:v>
                </c:pt>
                <c:pt idx="21">
                  <c:v>154601364567269.28</c:v>
                </c:pt>
                <c:pt idx="22">
                  <c:v>156770850577753.56</c:v>
                </c:pt>
                <c:pt idx="23">
                  <c:v>158940336588236.97</c:v>
                </c:pt>
                <c:pt idx="24">
                  <c:v>161109822598720.34</c:v>
                </c:pt>
                <c:pt idx="25">
                  <c:v>163279308609204.63</c:v>
                </c:pt>
                <c:pt idx="26">
                  <c:v>165448794619688</c:v>
                </c:pt>
                <c:pt idx="27">
                  <c:v>167618280630172.28</c:v>
                </c:pt>
                <c:pt idx="28">
                  <c:v>169787766640655.66</c:v>
                </c:pt>
                <c:pt idx="29">
                  <c:v>171957252651139.03</c:v>
                </c:pt>
                <c:pt idx="30">
                  <c:v>174126738661623.31</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10404035147059.492</c:v>
                </c:pt>
                <c:pt idx="1">
                  <c:v>10786365496205.508</c:v>
                </c:pt>
                <c:pt idx="2">
                  <c:v>11168695845351.523</c:v>
                </c:pt>
                <c:pt idx="3">
                  <c:v>11551026194497.539</c:v>
                </c:pt>
                <c:pt idx="4">
                  <c:v>11933356543643.557</c:v>
                </c:pt>
                <c:pt idx="5">
                  <c:v>12315686892789.572</c:v>
                </c:pt>
                <c:pt idx="6">
                  <c:v>12414871120918.711</c:v>
                </c:pt>
                <c:pt idx="7">
                  <c:v>12514055349047.848</c:v>
                </c:pt>
                <c:pt idx="8">
                  <c:v>12613239577176.984</c:v>
                </c:pt>
                <c:pt idx="9">
                  <c:v>12712423805306.121</c:v>
                </c:pt>
                <c:pt idx="10">
                  <c:v>12811608033435.256</c:v>
                </c:pt>
                <c:pt idx="11">
                  <c:v>12864007248295.934</c:v>
                </c:pt>
                <c:pt idx="12">
                  <c:v>12916406463156.609</c:v>
                </c:pt>
                <c:pt idx="13">
                  <c:v>12968805678017.285</c:v>
                </c:pt>
                <c:pt idx="14">
                  <c:v>13021204892877.961</c:v>
                </c:pt>
                <c:pt idx="15">
                  <c:v>13073604107738.639</c:v>
                </c:pt>
                <c:pt idx="16">
                  <c:v>13111032118353.404</c:v>
                </c:pt>
                <c:pt idx="17">
                  <c:v>13148460128968.174</c:v>
                </c:pt>
                <c:pt idx="18">
                  <c:v>13185888139582.941</c:v>
                </c:pt>
                <c:pt idx="19">
                  <c:v>13223316150197.711</c:v>
                </c:pt>
                <c:pt idx="20">
                  <c:v>13260744160812.477</c:v>
                </c:pt>
                <c:pt idx="21">
                  <c:v>13318133777088.465</c:v>
                </c:pt>
                <c:pt idx="22">
                  <c:v>13361913207686.336</c:v>
                </c:pt>
                <c:pt idx="23">
                  <c:v>13405692638284.219</c:v>
                </c:pt>
                <c:pt idx="24">
                  <c:v>13449472068882.104</c:v>
                </c:pt>
                <c:pt idx="25">
                  <c:v>13493251499479.986</c:v>
                </c:pt>
                <c:pt idx="26">
                  <c:v>13537030930077.857</c:v>
                </c:pt>
                <c:pt idx="27">
                  <c:v>13580810360675.74</c:v>
                </c:pt>
                <c:pt idx="28">
                  <c:v>13624589791273.623</c:v>
                </c:pt>
                <c:pt idx="29">
                  <c:v>13668369221871.508</c:v>
                </c:pt>
                <c:pt idx="30">
                  <c:v>13712148652469.391</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26220007280777.914</c:v>
                </c:pt>
                <c:pt idx="1">
                  <c:v>27183547330054.297</c:v>
                </c:pt>
                <c:pt idx="2">
                  <c:v>28147087379330.68</c:v>
                </c:pt>
                <c:pt idx="3">
                  <c:v>29110627428607.059</c:v>
                </c:pt>
                <c:pt idx="4">
                  <c:v>30074167477883.441</c:v>
                </c:pt>
                <c:pt idx="5">
                  <c:v>31037707527159.824</c:v>
                </c:pt>
                <c:pt idx="6">
                  <c:v>31287669310922.094</c:v>
                </c:pt>
                <c:pt idx="7">
                  <c:v>31537631094684.359</c:v>
                </c:pt>
                <c:pt idx="8">
                  <c:v>31787592878446.625</c:v>
                </c:pt>
                <c:pt idx="9">
                  <c:v>32037554662208.891</c:v>
                </c:pt>
                <c:pt idx="10">
                  <c:v>32287516445971.156</c:v>
                </c:pt>
                <c:pt idx="11">
                  <c:v>32419571727958.766</c:v>
                </c:pt>
                <c:pt idx="12">
                  <c:v>32551627009946.379</c:v>
                </c:pt>
                <c:pt idx="13">
                  <c:v>32683682291933.992</c:v>
                </c:pt>
                <c:pt idx="14">
                  <c:v>32815737573921.602</c:v>
                </c:pt>
                <c:pt idx="15">
                  <c:v>32947792855909.219</c:v>
                </c:pt>
                <c:pt idx="16">
                  <c:v>33042118057328.938</c:v>
                </c:pt>
                <c:pt idx="17">
                  <c:v>33136443258748.66</c:v>
                </c:pt>
                <c:pt idx="18">
                  <c:v>33230768460168.383</c:v>
                </c:pt>
                <c:pt idx="19">
                  <c:v>33325093661588.105</c:v>
                </c:pt>
                <c:pt idx="20">
                  <c:v>33419418863007.824</c:v>
                </c:pt>
                <c:pt idx="21">
                  <c:v>33564050838518.09</c:v>
                </c:pt>
                <c:pt idx="22">
                  <c:v>33674382740784.773</c:v>
                </c:pt>
                <c:pt idx="23">
                  <c:v>33784714643051.488</c:v>
                </c:pt>
                <c:pt idx="24">
                  <c:v>33895046545318.199</c:v>
                </c:pt>
                <c:pt idx="25">
                  <c:v>34005378447584.91</c:v>
                </c:pt>
                <c:pt idx="26">
                  <c:v>34115710349851.594</c:v>
                </c:pt>
                <c:pt idx="27">
                  <c:v>34226042252118.309</c:v>
                </c:pt>
                <c:pt idx="28">
                  <c:v>34336374154385.02</c:v>
                </c:pt>
                <c:pt idx="29">
                  <c:v>34446706056651.73</c:v>
                </c:pt>
                <c:pt idx="30">
                  <c:v>34557037958918.445</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113453815414940.44</c:v>
                </c:pt>
                <c:pt idx="1">
                  <c:v>111582803194702.36</c:v>
                </c:pt>
                <c:pt idx="2">
                  <c:v>109711790974464.27</c:v>
                </c:pt>
                <c:pt idx="3">
                  <c:v>107840778754226.19</c:v>
                </c:pt>
                <c:pt idx="4">
                  <c:v>105969766533988.09</c:v>
                </c:pt>
                <c:pt idx="5">
                  <c:v>104098754313750</c:v>
                </c:pt>
                <c:pt idx="6">
                  <c:v>103464247620790</c:v>
                </c:pt>
                <c:pt idx="7">
                  <c:v>102829740927830</c:v>
                </c:pt>
                <c:pt idx="8">
                  <c:v>102195234234870</c:v>
                </c:pt>
                <c:pt idx="9">
                  <c:v>101560727541910</c:v>
                </c:pt>
                <c:pt idx="10">
                  <c:v>100926220848950</c:v>
                </c:pt>
                <c:pt idx="11">
                  <c:v>100648624170780</c:v>
                </c:pt>
                <c:pt idx="12">
                  <c:v>100371027492610</c:v>
                </c:pt>
                <c:pt idx="13">
                  <c:v>100093430814440</c:v>
                </c:pt>
                <c:pt idx="14">
                  <c:v>99815834136270</c:v>
                </c:pt>
                <c:pt idx="15">
                  <c:v>99538237458099.984</c:v>
                </c:pt>
                <c:pt idx="16">
                  <c:v>99395473452184</c:v>
                </c:pt>
                <c:pt idx="17">
                  <c:v>99252709446268</c:v>
                </c:pt>
                <c:pt idx="18">
                  <c:v>99109945440352.063</c:v>
                </c:pt>
                <c:pt idx="19">
                  <c:v>98967181434436.063</c:v>
                </c:pt>
                <c:pt idx="20">
                  <c:v>98824417428520</c:v>
                </c:pt>
                <c:pt idx="21">
                  <c:v>98501876526265.375</c:v>
                </c:pt>
                <c:pt idx="22">
                  <c:v>98301910780605.25</c:v>
                </c:pt>
                <c:pt idx="23">
                  <c:v>98101945034945.125</c:v>
                </c:pt>
                <c:pt idx="24">
                  <c:v>97901979289285</c:v>
                </c:pt>
                <c:pt idx="25">
                  <c:v>97702013543624.938</c:v>
                </c:pt>
                <c:pt idx="26">
                  <c:v>97502047797964.813</c:v>
                </c:pt>
                <c:pt idx="27">
                  <c:v>97302082052304.688</c:v>
                </c:pt>
                <c:pt idx="28">
                  <c:v>97102116306644.563</c:v>
                </c:pt>
                <c:pt idx="29">
                  <c:v>96902150560984.438</c:v>
                </c:pt>
                <c:pt idx="30">
                  <c:v>96702184815324.313</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13385046457348.111</c:v>
                </c:pt>
                <c:pt idx="1">
                  <c:v>13813226839212.182</c:v>
                </c:pt>
                <c:pt idx="2">
                  <c:v>14241407221076.248</c:v>
                </c:pt>
                <c:pt idx="3">
                  <c:v>14669587602940.316</c:v>
                </c:pt>
                <c:pt idx="4">
                  <c:v>15097767984804.383</c:v>
                </c:pt>
                <c:pt idx="5">
                  <c:v>15525948366668.449</c:v>
                </c:pt>
                <c:pt idx="6">
                  <c:v>15644036824427.035</c:v>
                </c:pt>
                <c:pt idx="7">
                  <c:v>15762125282185.619</c:v>
                </c:pt>
                <c:pt idx="8">
                  <c:v>15880213739944.203</c:v>
                </c:pt>
                <c:pt idx="9">
                  <c:v>15998302197702.789</c:v>
                </c:pt>
                <c:pt idx="10">
                  <c:v>16116390655461.373</c:v>
                </c:pt>
                <c:pt idx="11">
                  <c:v>16213008484536.578</c:v>
                </c:pt>
                <c:pt idx="12">
                  <c:v>16309626313611.783</c:v>
                </c:pt>
                <c:pt idx="13">
                  <c:v>16406244142686.99</c:v>
                </c:pt>
                <c:pt idx="14">
                  <c:v>16502861971762.195</c:v>
                </c:pt>
                <c:pt idx="15">
                  <c:v>16599479800837.402</c:v>
                </c:pt>
                <c:pt idx="16">
                  <c:v>16704149115668.873</c:v>
                </c:pt>
                <c:pt idx="17">
                  <c:v>16808818430500.346</c:v>
                </c:pt>
                <c:pt idx="18">
                  <c:v>16913487745331.818</c:v>
                </c:pt>
                <c:pt idx="19">
                  <c:v>17018157060163.291</c:v>
                </c:pt>
                <c:pt idx="20">
                  <c:v>17122826374994.764</c:v>
                </c:pt>
                <c:pt idx="21">
                  <c:v>17216760375484.547</c:v>
                </c:pt>
                <c:pt idx="22">
                  <c:v>17318013908480.02</c:v>
                </c:pt>
                <c:pt idx="23">
                  <c:v>17419267441475.492</c:v>
                </c:pt>
                <c:pt idx="24">
                  <c:v>17520520974470.967</c:v>
                </c:pt>
                <c:pt idx="25">
                  <c:v>17621774507466.438</c:v>
                </c:pt>
                <c:pt idx="26">
                  <c:v>17723028040461.953</c:v>
                </c:pt>
                <c:pt idx="27">
                  <c:v>17824281573457.426</c:v>
                </c:pt>
                <c:pt idx="28">
                  <c:v>17925535106452.898</c:v>
                </c:pt>
                <c:pt idx="29">
                  <c:v>18026788639448.371</c:v>
                </c:pt>
                <c:pt idx="30">
                  <c:v>18128042172443.844</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26170858905322.965</c:v>
                </c:pt>
                <c:pt idx="1">
                  <c:v>27008050497858.688</c:v>
                </c:pt>
                <c:pt idx="2">
                  <c:v>27845242090394.402</c:v>
                </c:pt>
                <c:pt idx="3">
                  <c:v>28682433682930.121</c:v>
                </c:pt>
                <c:pt idx="4">
                  <c:v>29519625275465.836</c:v>
                </c:pt>
                <c:pt idx="5">
                  <c:v>30356816868001.551</c:v>
                </c:pt>
                <c:pt idx="6">
                  <c:v>30587707091370.965</c:v>
                </c:pt>
                <c:pt idx="7">
                  <c:v>30818597314740.383</c:v>
                </c:pt>
                <c:pt idx="8">
                  <c:v>31049487538109.797</c:v>
                </c:pt>
                <c:pt idx="9">
                  <c:v>31280377761479.211</c:v>
                </c:pt>
                <c:pt idx="10">
                  <c:v>31511267984848.629</c:v>
                </c:pt>
                <c:pt idx="11">
                  <c:v>31700178167605.422</c:v>
                </c:pt>
                <c:pt idx="12">
                  <c:v>31889088350362.215</c:v>
                </c:pt>
                <c:pt idx="13">
                  <c:v>32077998533119.012</c:v>
                </c:pt>
                <c:pt idx="14">
                  <c:v>32266908715875.805</c:v>
                </c:pt>
                <c:pt idx="15">
                  <c:v>32455818898632.605</c:v>
                </c:pt>
                <c:pt idx="16">
                  <c:v>32660471596619.125</c:v>
                </c:pt>
                <c:pt idx="17">
                  <c:v>32865124294605.652</c:v>
                </c:pt>
                <c:pt idx="18">
                  <c:v>33069776992592.18</c:v>
                </c:pt>
                <c:pt idx="19">
                  <c:v>33274429690578.707</c:v>
                </c:pt>
                <c:pt idx="20">
                  <c:v>33479082388565.234</c:v>
                </c:pt>
                <c:pt idx="21">
                  <c:v>33662745066245.453</c:v>
                </c:pt>
                <c:pt idx="22">
                  <c:v>33860719121407.23</c:v>
                </c:pt>
                <c:pt idx="23">
                  <c:v>34058693176569.008</c:v>
                </c:pt>
                <c:pt idx="24">
                  <c:v>34256667231730.785</c:v>
                </c:pt>
                <c:pt idx="25">
                  <c:v>34454641286892.563</c:v>
                </c:pt>
                <c:pt idx="26">
                  <c:v>34652615342054.422</c:v>
                </c:pt>
                <c:pt idx="27">
                  <c:v>34850589397216.199</c:v>
                </c:pt>
                <c:pt idx="28">
                  <c:v>35048563452377.977</c:v>
                </c:pt>
                <c:pt idx="29">
                  <c:v>35246537507539.75</c:v>
                </c:pt>
                <c:pt idx="30">
                  <c:v>35444511562701.531</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192637186829205.59</c:v>
                </c:pt>
                <c:pt idx="1">
                  <c:v>201398099681835.91</c:v>
                </c:pt>
                <c:pt idx="2">
                  <c:v>210159012534466.25</c:v>
                </c:pt>
                <c:pt idx="3">
                  <c:v>218919925387096.59</c:v>
                </c:pt>
                <c:pt idx="4">
                  <c:v>227680838239726.91</c:v>
                </c:pt>
                <c:pt idx="5">
                  <c:v>236441751092357.22</c:v>
                </c:pt>
                <c:pt idx="6">
                  <c:v>240731891732814.81</c:v>
                </c:pt>
                <c:pt idx="7">
                  <c:v>245022032373273.53</c:v>
                </c:pt>
                <c:pt idx="8">
                  <c:v>249312173013732.22</c:v>
                </c:pt>
                <c:pt idx="9">
                  <c:v>253602313654190.94</c:v>
                </c:pt>
                <c:pt idx="10">
                  <c:v>257892454294650.75</c:v>
                </c:pt>
                <c:pt idx="11">
                  <c:v>261474171711402.94</c:v>
                </c:pt>
                <c:pt idx="12">
                  <c:v>265055889128155.13</c:v>
                </c:pt>
                <c:pt idx="13">
                  <c:v>268637606544907.31</c:v>
                </c:pt>
                <c:pt idx="14">
                  <c:v>272219323961659.5</c:v>
                </c:pt>
                <c:pt idx="15">
                  <c:v>275801041378411.69</c:v>
                </c:pt>
                <c:pt idx="16">
                  <c:v>279488362257082.84</c:v>
                </c:pt>
                <c:pt idx="17">
                  <c:v>283175683135754</c:v>
                </c:pt>
                <c:pt idx="18">
                  <c:v>286863004014425.19</c:v>
                </c:pt>
                <c:pt idx="19">
                  <c:v>290550324893096.38</c:v>
                </c:pt>
                <c:pt idx="20">
                  <c:v>294237645771767.5</c:v>
                </c:pt>
                <c:pt idx="21">
                  <c:v>297784162034546.75</c:v>
                </c:pt>
                <c:pt idx="22">
                  <c:v>301426681444524.88</c:v>
                </c:pt>
                <c:pt idx="23">
                  <c:v>305069200854504.19</c:v>
                </c:pt>
                <c:pt idx="24">
                  <c:v>308711720264482.31</c:v>
                </c:pt>
                <c:pt idx="25">
                  <c:v>312354239674460.5</c:v>
                </c:pt>
                <c:pt idx="26">
                  <c:v>315996759084438.69</c:v>
                </c:pt>
                <c:pt idx="27">
                  <c:v>319639278494416.81</c:v>
                </c:pt>
                <c:pt idx="28">
                  <c:v>323281797904395</c:v>
                </c:pt>
                <c:pt idx="29">
                  <c:v>326924317314373.19</c:v>
                </c:pt>
                <c:pt idx="30">
                  <c:v>330566836724351.31</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33545824591684.805</c:v>
                </c:pt>
                <c:pt idx="1">
                  <c:v>35071449268076.813</c:v>
                </c:pt>
                <c:pt idx="2">
                  <c:v>36597073944468.82</c:v>
                </c:pt>
                <c:pt idx="3">
                  <c:v>38122698620860.836</c:v>
                </c:pt>
                <c:pt idx="4">
                  <c:v>39648323297252.844</c:v>
                </c:pt>
                <c:pt idx="5">
                  <c:v>41173947973644.852</c:v>
                </c:pt>
                <c:pt idx="6">
                  <c:v>41921032727981.75</c:v>
                </c:pt>
                <c:pt idx="7">
                  <c:v>42668117482318.844</c:v>
                </c:pt>
                <c:pt idx="8">
                  <c:v>43415202236655.938</c:v>
                </c:pt>
                <c:pt idx="9">
                  <c:v>44162286990993.031</c:v>
                </c:pt>
                <c:pt idx="10">
                  <c:v>44909371745330.32</c:v>
                </c:pt>
                <c:pt idx="11">
                  <c:v>45533091735105.086</c:v>
                </c:pt>
                <c:pt idx="12">
                  <c:v>46156811724879.844</c:v>
                </c:pt>
                <c:pt idx="13">
                  <c:v>46780531714654.609</c:v>
                </c:pt>
                <c:pt idx="14">
                  <c:v>47404251704429.375</c:v>
                </c:pt>
                <c:pt idx="15">
                  <c:v>48027971694204.141</c:v>
                </c:pt>
                <c:pt idx="16">
                  <c:v>48670081462547.195</c:v>
                </c:pt>
                <c:pt idx="17">
                  <c:v>49312191230890.258</c:v>
                </c:pt>
                <c:pt idx="18">
                  <c:v>49954300999233.32</c:v>
                </c:pt>
                <c:pt idx="19">
                  <c:v>50596410767576.383</c:v>
                </c:pt>
                <c:pt idx="20">
                  <c:v>51238520535919.445</c:v>
                </c:pt>
                <c:pt idx="21">
                  <c:v>51856110599504.773</c:v>
                </c:pt>
                <c:pt idx="22">
                  <c:v>52490418643606.719</c:v>
                </c:pt>
                <c:pt idx="23">
                  <c:v>53124726687708.859</c:v>
                </c:pt>
                <c:pt idx="24">
                  <c:v>53759034731810.813</c:v>
                </c:pt>
                <c:pt idx="25">
                  <c:v>54393342775912.758</c:v>
                </c:pt>
                <c:pt idx="26">
                  <c:v>55027650820014.703</c:v>
                </c:pt>
                <c:pt idx="27">
                  <c:v>55661958864116.648</c:v>
                </c:pt>
                <c:pt idx="28">
                  <c:v>56296266908218.602</c:v>
                </c:pt>
                <c:pt idx="29">
                  <c:v>56930574952320.547</c:v>
                </c:pt>
                <c:pt idx="30">
                  <c:v>57564882996422.492</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52369204288318.344</c:v>
                </c:pt>
                <c:pt idx="1">
                  <c:v>54750894150402.602</c:v>
                </c:pt>
                <c:pt idx="2">
                  <c:v>57132584012486.867</c:v>
                </c:pt>
                <c:pt idx="3">
                  <c:v>59514273874571.141</c:v>
                </c:pt>
                <c:pt idx="4">
                  <c:v>61895963736655.398</c:v>
                </c:pt>
                <c:pt idx="5">
                  <c:v>64277653598739.664</c:v>
                </c:pt>
                <c:pt idx="6">
                  <c:v>65443945815335.086</c:v>
                </c:pt>
                <c:pt idx="7">
                  <c:v>66610238031930.813</c:v>
                </c:pt>
                <c:pt idx="8">
                  <c:v>67776530248526.531</c:v>
                </c:pt>
                <c:pt idx="9">
                  <c:v>68942822465122.258</c:v>
                </c:pt>
                <c:pt idx="10">
                  <c:v>70109114681718.281</c:v>
                </c:pt>
                <c:pt idx="11">
                  <c:v>71082819157932.563</c:v>
                </c:pt>
                <c:pt idx="12">
                  <c:v>72056523634146.828</c:v>
                </c:pt>
                <c:pt idx="13">
                  <c:v>73030228110361.109</c:v>
                </c:pt>
                <c:pt idx="14">
                  <c:v>74003932586575.375</c:v>
                </c:pt>
                <c:pt idx="15">
                  <c:v>74977637062789.656</c:v>
                </c:pt>
                <c:pt idx="16">
                  <c:v>75980050270489.359</c:v>
                </c:pt>
                <c:pt idx="17">
                  <c:v>76982463478189.078</c:v>
                </c:pt>
                <c:pt idx="18">
                  <c:v>77984876685888.781</c:v>
                </c:pt>
                <c:pt idx="19">
                  <c:v>78987289893588.484</c:v>
                </c:pt>
                <c:pt idx="20">
                  <c:v>79989703101288.203</c:v>
                </c:pt>
                <c:pt idx="21">
                  <c:v>80953838000340.656</c:v>
                </c:pt>
                <c:pt idx="22">
                  <c:v>81944071746198.047</c:v>
                </c:pt>
                <c:pt idx="23">
                  <c:v>82934305492055.719</c:v>
                </c:pt>
                <c:pt idx="24">
                  <c:v>83924539237913.094</c:v>
                </c:pt>
                <c:pt idx="25">
                  <c:v>84914772983770.469</c:v>
                </c:pt>
                <c:pt idx="26">
                  <c:v>85905006729627.844</c:v>
                </c:pt>
                <c:pt idx="27">
                  <c:v>86895240475485.219</c:v>
                </c:pt>
                <c:pt idx="28">
                  <c:v>87885474221342.594</c:v>
                </c:pt>
                <c:pt idx="29">
                  <c:v>88875707967199.969</c:v>
                </c:pt>
                <c:pt idx="30">
                  <c:v>89865941713057.344</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54677648064913.984</c:v>
                </c:pt>
                <c:pt idx="1">
                  <c:v>57164323236869.289</c:v>
                </c:pt>
                <c:pt idx="2">
                  <c:v>59650998408824.609</c:v>
                </c:pt>
                <c:pt idx="3">
                  <c:v>62137673580779.922</c:v>
                </c:pt>
                <c:pt idx="4">
                  <c:v>64624348752735.234</c:v>
                </c:pt>
                <c:pt idx="5">
                  <c:v>67111023924690.547</c:v>
                </c:pt>
                <c:pt idx="6">
                  <c:v>68328726508231.188</c:v>
                </c:pt>
                <c:pt idx="7">
                  <c:v>69546429091772.148</c:v>
                </c:pt>
                <c:pt idx="8">
                  <c:v>70764131675313.109</c:v>
                </c:pt>
                <c:pt idx="9">
                  <c:v>71981834258854.063</c:v>
                </c:pt>
                <c:pt idx="10">
                  <c:v>73199536842395.328</c:v>
                </c:pt>
                <c:pt idx="11">
                  <c:v>74216162383936.188</c:v>
                </c:pt>
                <c:pt idx="12">
                  <c:v>75232787925477.047</c:v>
                </c:pt>
                <c:pt idx="13">
                  <c:v>76249413467017.906</c:v>
                </c:pt>
                <c:pt idx="14">
                  <c:v>77266039008558.766</c:v>
                </c:pt>
                <c:pt idx="15">
                  <c:v>78282664550099.625</c:v>
                </c:pt>
                <c:pt idx="16">
                  <c:v>79329264309081.5</c:v>
                </c:pt>
                <c:pt idx="17">
                  <c:v>80375864068063.359</c:v>
                </c:pt>
                <c:pt idx="18">
                  <c:v>81422463827045.234</c:v>
                </c:pt>
                <c:pt idx="19">
                  <c:v>82469063586027.109</c:v>
                </c:pt>
                <c:pt idx="20">
                  <c:v>83515663345008.969</c:v>
                </c:pt>
                <c:pt idx="21">
                  <c:v>84522297480736.156</c:v>
                </c:pt>
                <c:pt idx="22">
                  <c:v>85556180905046.063</c:v>
                </c:pt>
                <c:pt idx="23">
                  <c:v>86590064329356.266</c:v>
                </c:pt>
                <c:pt idx="24">
                  <c:v>87623947753666.172</c:v>
                </c:pt>
                <c:pt idx="25">
                  <c:v>88657831177976.063</c:v>
                </c:pt>
                <c:pt idx="26">
                  <c:v>89691714602285.953</c:v>
                </c:pt>
                <c:pt idx="27">
                  <c:v>90725598026595.859</c:v>
                </c:pt>
                <c:pt idx="28">
                  <c:v>91759481450905.75</c:v>
                </c:pt>
                <c:pt idx="29">
                  <c:v>92793364875215.641</c:v>
                </c:pt>
                <c:pt idx="30">
                  <c:v>93827248299525.547</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14001890190217.949</c:v>
                </c:pt>
                <c:pt idx="1">
                  <c:v>14638679699801.885</c:v>
                </c:pt>
                <c:pt idx="2">
                  <c:v>15275469209385.82</c:v>
                </c:pt>
                <c:pt idx="3">
                  <c:v>15912258718969.758</c:v>
                </c:pt>
                <c:pt idx="4">
                  <c:v>16549048228553.693</c:v>
                </c:pt>
                <c:pt idx="5">
                  <c:v>17185837738137.629</c:v>
                </c:pt>
                <c:pt idx="6">
                  <c:v>17497667863655.074</c:v>
                </c:pt>
                <c:pt idx="7">
                  <c:v>17809497989172.598</c:v>
                </c:pt>
                <c:pt idx="8">
                  <c:v>18121328114690.121</c:v>
                </c:pt>
                <c:pt idx="9">
                  <c:v>18433158240207.648</c:v>
                </c:pt>
                <c:pt idx="10">
                  <c:v>18744988365725.254</c:v>
                </c:pt>
                <c:pt idx="11">
                  <c:v>19005326542311.164</c:v>
                </c:pt>
                <c:pt idx="12">
                  <c:v>19265664718897.078</c:v>
                </c:pt>
                <c:pt idx="13">
                  <c:v>19526002895482.992</c:v>
                </c:pt>
                <c:pt idx="14">
                  <c:v>19786341072068.906</c:v>
                </c:pt>
                <c:pt idx="15">
                  <c:v>20046679248654.816</c:v>
                </c:pt>
                <c:pt idx="16">
                  <c:v>20314693243715.008</c:v>
                </c:pt>
                <c:pt idx="17">
                  <c:v>20582707238775.199</c:v>
                </c:pt>
                <c:pt idx="18">
                  <c:v>20850721233835.391</c:v>
                </c:pt>
                <c:pt idx="19">
                  <c:v>21118735228895.578</c:v>
                </c:pt>
                <c:pt idx="20">
                  <c:v>21386749223955.77</c:v>
                </c:pt>
                <c:pt idx="21">
                  <c:v>21644528794383.59</c:v>
                </c:pt>
                <c:pt idx="22">
                  <c:v>21909286381606.199</c:v>
                </c:pt>
                <c:pt idx="23">
                  <c:v>22174043968828.891</c:v>
                </c:pt>
                <c:pt idx="24">
                  <c:v>22438801556051.504</c:v>
                </c:pt>
                <c:pt idx="25">
                  <c:v>22703559143274.113</c:v>
                </c:pt>
                <c:pt idx="26">
                  <c:v>22968316730496.727</c:v>
                </c:pt>
                <c:pt idx="27">
                  <c:v>23233074317719.336</c:v>
                </c:pt>
                <c:pt idx="28">
                  <c:v>23497831904941.945</c:v>
                </c:pt>
                <c:pt idx="29">
                  <c:v>23762589492164.559</c:v>
                </c:pt>
                <c:pt idx="30">
                  <c:v>24027347079387.168</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13649136967668.264</c:v>
                </c:pt>
                <c:pt idx="1">
                  <c:v>14150719212309.693</c:v>
                </c:pt>
                <c:pt idx="2">
                  <c:v>14652301456951.119</c:v>
                </c:pt>
                <c:pt idx="3">
                  <c:v>15153883701592.547</c:v>
                </c:pt>
                <c:pt idx="4">
                  <c:v>15655465946233.975</c:v>
                </c:pt>
                <c:pt idx="5">
                  <c:v>16157048190875.402</c:v>
                </c:pt>
                <c:pt idx="6">
                  <c:v>16287168773479.324</c:v>
                </c:pt>
                <c:pt idx="7">
                  <c:v>16417289356083.244</c:v>
                </c:pt>
                <c:pt idx="8">
                  <c:v>16547409938687.164</c:v>
                </c:pt>
                <c:pt idx="9">
                  <c:v>16677530521291.084</c:v>
                </c:pt>
                <c:pt idx="10">
                  <c:v>16807651103895.004</c:v>
                </c:pt>
                <c:pt idx="11">
                  <c:v>16876394053195.188</c:v>
                </c:pt>
                <c:pt idx="12">
                  <c:v>16945137002495.371</c:v>
                </c:pt>
                <c:pt idx="13">
                  <c:v>17013879951795.555</c:v>
                </c:pt>
                <c:pt idx="14">
                  <c:v>17082622901095.74</c:v>
                </c:pt>
                <c:pt idx="15">
                  <c:v>17151365850395.926</c:v>
                </c:pt>
                <c:pt idx="16">
                  <c:v>17200467957038.912</c:v>
                </c:pt>
                <c:pt idx="17">
                  <c:v>17249570063681.9</c:v>
                </c:pt>
                <c:pt idx="18">
                  <c:v>17298672170324.889</c:v>
                </c:pt>
                <c:pt idx="19">
                  <c:v>17347774276967.877</c:v>
                </c:pt>
                <c:pt idx="20">
                  <c:v>17396876383610.863</c:v>
                </c:pt>
                <c:pt idx="21">
                  <c:v>17472166280463.459</c:v>
                </c:pt>
                <c:pt idx="22">
                  <c:v>17529600865809.488</c:v>
                </c:pt>
                <c:pt idx="23">
                  <c:v>17587035451155.533</c:v>
                </c:pt>
                <c:pt idx="24">
                  <c:v>17644470036501.578</c:v>
                </c:pt>
                <c:pt idx="25">
                  <c:v>17701904621847.621</c:v>
                </c:pt>
                <c:pt idx="26">
                  <c:v>17759339207193.652</c:v>
                </c:pt>
                <c:pt idx="27">
                  <c:v>17816773792539.695</c:v>
                </c:pt>
                <c:pt idx="28">
                  <c:v>17874208377885.738</c:v>
                </c:pt>
                <c:pt idx="29">
                  <c:v>17931642963231.785</c:v>
                </c:pt>
                <c:pt idx="30">
                  <c:v>17989077548577.828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4053972007121.0981</c:v>
                </c:pt>
                <c:pt idx="1">
                  <c:v>4058025979128.2188</c:v>
                </c:pt>
                <c:pt idx="2">
                  <c:v>4062084005107.3467</c:v>
                </c:pt>
                <c:pt idx="3">
                  <c:v>4066146089112.4536</c:v>
                </c:pt>
                <c:pt idx="4">
                  <c:v>4070212235201.5654</c:v>
                </c:pt>
                <c:pt idx="5">
                  <c:v>4074282447436.7666</c:v>
                </c:pt>
                <c:pt idx="6">
                  <c:v>4078356729884.2031</c:v>
                </c:pt>
                <c:pt idx="7">
                  <c:v>4082435086614.0869</c:v>
                </c:pt>
                <c:pt idx="8">
                  <c:v>4086517521700.7007</c:v>
                </c:pt>
                <c:pt idx="9">
                  <c:v>4090604039222.4009</c:v>
                </c:pt>
                <c:pt idx="10">
                  <c:v>4094694643261.623</c:v>
                </c:pt>
                <c:pt idx="11">
                  <c:v>4098789337904.8843</c:v>
                </c:pt>
                <c:pt idx="12">
                  <c:v>4102888127242.7886</c:v>
                </c:pt>
                <c:pt idx="13">
                  <c:v>4106991015370.0308</c:v>
                </c:pt>
                <c:pt idx="14">
                  <c:v>4111098006385.4004</c:v>
                </c:pt>
                <c:pt idx="15">
                  <c:v>4115209104391.7852</c:v>
                </c:pt>
                <c:pt idx="16">
                  <c:v>4119324313496.1763</c:v>
                </c:pt>
                <c:pt idx="17">
                  <c:v>4123443637809.6719</c:v>
                </c:pt>
                <c:pt idx="18">
                  <c:v>4127567081447.481</c:v>
                </c:pt>
                <c:pt idx="19">
                  <c:v>4131694648528.9282</c:v>
                </c:pt>
                <c:pt idx="20">
                  <c:v>4135826343177.4565</c:v>
                </c:pt>
                <c:pt idx="21">
                  <c:v>4115147211461.5693</c:v>
                </c:pt>
                <c:pt idx="22">
                  <c:v>4094571475404.2612</c:v>
                </c:pt>
                <c:pt idx="23">
                  <c:v>4074098618027.2397</c:v>
                </c:pt>
                <c:pt idx="24">
                  <c:v>4053728124937.1035</c:v>
                </c:pt>
                <c:pt idx="25">
                  <c:v>4033459484312.418</c:v>
                </c:pt>
                <c:pt idx="26">
                  <c:v>4013292186890.856</c:v>
                </c:pt>
                <c:pt idx="27">
                  <c:v>3993225725956.4019</c:v>
                </c:pt>
                <c:pt idx="28">
                  <c:v>3973259597326.6196</c:v>
                </c:pt>
                <c:pt idx="29">
                  <c:v>3953393299339.9863</c:v>
                </c:pt>
                <c:pt idx="30">
                  <c:v>3933626332843.2861</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30366447483.196106</c:v>
                </c:pt>
                <c:pt idx="1">
                  <c:v>31482362059.076401</c:v>
                </c:pt>
                <c:pt idx="2">
                  <c:v>32598276634.956688</c:v>
                </c:pt>
                <c:pt idx="3">
                  <c:v>33714191210.836979</c:v>
                </c:pt>
                <c:pt idx="4">
                  <c:v>34830105786.71727</c:v>
                </c:pt>
                <c:pt idx="5">
                  <c:v>35946020362.597565</c:v>
                </c:pt>
                <c:pt idx="6">
                  <c:v>36235511181.503151</c:v>
                </c:pt>
                <c:pt idx="7">
                  <c:v>36525002000.408737</c:v>
                </c:pt>
                <c:pt idx="8">
                  <c:v>36814492819.314331</c:v>
                </c:pt>
                <c:pt idx="9">
                  <c:v>37103983638.219917</c:v>
                </c:pt>
                <c:pt idx="10">
                  <c:v>37393474457.125504</c:v>
                </c:pt>
                <c:pt idx="11">
                  <c:v>37546413002.962418</c:v>
                </c:pt>
                <c:pt idx="12">
                  <c:v>37699351548.799332</c:v>
                </c:pt>
                <c:pt idx="13">
                  <c:v>37852290094.636246</c:v>
                </c:pt>
                <c:pt idx="14">
                  <c:v>38005228640.47316</c:v>
                </c:pt>
                <c:pt idx="15">
                  <c:v>38158167186.310074</c:v>
                </c:pt>
                <c:pt idx="16">
                  <c:v>38267409004.765015</c:v>
                </c:pt>
                <c:pt idx="17">
                  <c:v>38376650823.219948</c:v>
                </c:pt>
                <c:pt idx="18">
                  <c:v>38485892641.674889</c:v>
                </c:pt>
                <c:pt idx="19">
                  <c:v>38595134460.129829</c:v>
                </c:pt>
                <c:pt idx="20">
                  <c:v>38704376278.584755</c:v>
                </c:pt>
                <c:pt idx="21">
                  <c:v>38871880400.215698</c:v>
                </c:pt>
                <c:pt idx="22">
                  <c:v>38999660224.226593</c:v>
                </c:pt>
                <c:pt idx="23">
                  <c:v>39127440048.237534</c:v>
                </c:pt>
                <c:pt idx="24">
                  <c:v>39255219872.248466</c:v>
                </c:pt>
                <c:pt idx="25">
                  <c:v>39382999696.259407</c:v>
                </c:pt>
                <c:pt idx="26">
                  <c:v>39510779520.270302</c:v>
                </c:pt>
                <c:pt idx="27">
                  <c:v>39638559344.281242</c:v>
                </c:pt>
                <c:pt idx="28">
                  <c:v>39766339168.292175</c:v>
                </c:pt>
                <c:pt idx="29">
                  <c:v>39894118992.303108</c:v>
                </c:pt>
                <c:pt idx="30">
                  <c:v>40021898816.314049</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1687930488318.3699</c:v>
                </c:pt>
                <c:pt idx="1">
                  <c:v>1850522437451.0378</c:v>
                </c:pt>
                <c:pt idx="2">
                  <c:v>2013114386583.7058</c:v>
                </c:pt>
                <c:pt idx="3">
                  <c:v>2175706335716.3735</c:v>
                </c:pt>
                <c:pt idx="4">
                  <c:v>2338298284849.0415</c:v>
                </c:pt>
                <c:pt idx="5">
                  <c:v>2500890233981.7095</c:v>
                </c:pt>
                <c:pt idx="6">
                  <c:v>2559488125698.041</c:v>
                </c:pt>
                <c:pt idx="7">
                  <c:v>2618086017414.374</c:v>
                </c:pt>
                <c:pt idx="8">
                  <c:v>2676683909130.7075</c:v>
                </c:pt>
                <c:pt idx="9">
                  <c:v>2735281800847.0405</c:v>
                </c:pt>
                <c:pt idx="10">
                  <c:v>2793879692563.374</c:v>
                </c:pt>
                <c:pt idx="11">
                  <c:v>2834639565492.3906</c:v>
                </c:pt>
                <c:pt idx="12">
                  <c:v>2875399438421.4077</c:v>
                </c:pt>
                <c:pt idx="13">
                  <c:v>2916159311350.4248</c:v>
                </c:pt>
                <c:pt idx="14">
                  <c:v>2956919184279.4424</c:v>
                </c:pt>
                <c:pt idx="15">
                  <c:v>2997679057208.46</c:v>
                </c:pt>
                <c:pt idx="16">
                  <c:v>3023990134919.7505</c:v>
                </c:pt>
                <c:pt idx="17">
                  <c:v>3050301212631.0415</c:v>
                </c:pt>
                <c:pt idx="18">
                  <c:v>3076612290342.3325</c:v>
                </c:pt>
                <c:pt idx="19">
                  <c:v>3102923368053.624</c:v>
                </c:pt>
                <c:pt idx="20">
                  <c:v>3129234445764.9146</c:v>
                </c:pt>
                <c:pt idx="21">
                  <c:v>3174810583766.5073</c:v>
                </c:pt>
                <c:pt idx="22">
                  <c:v>3207251453388.3462</c:v>
                </c:pt>
                <c:pt idx="23">
                  <c:v>3239692323010.1958</c:v>
                </c:pt>
                <c:pt idx="24">
                  <c:v>3272133192632.0342</c:v>
                </c:pt>
                <c:pt idx="25">
                  <c:v>3304574062253.8726</c:v>
                </c:pt>
                <c:pt idx="26">
                  <c:v>3337014931875.7114</c:v>
                </c:pt>
                <c:pt idx="27">
                  <c:v>3369455801497.561</c:v>
                </c:pt>
                <c:pt idx="28">
                  <c:v>3401896671119.3994</c:v>
                </c:pt>
                <c:pt idx="29">
                  <c:v>3434337540741.2378</c:v>
                </c:pt>
                <c:pt idx="30">
                  <c:v>3466778410363.0879</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14218277189562.152</c:v>
                </c:pt>
                <c:pt idx="1">
                  <c:v>15587869964595.568</c:v>
                </c:pt>
                <c:pt idx="2">
                  <c:v>16957462739628.982</c:v>
                </c:pt>
                <c:pt idx="3">
                  <c:v>18327055514662.395</c:v>
                </c:pt>
                <c:pt idx="4">
                  <c:v>19696648289695.809</c:v>
                </c:pt>
                <c:pt idx="5">
                  <c:v>21066241064729.227</c:v>
                </c:pt>
                <c:pt idx="6">
                  <c:v>21559840222344.297</c:v>
                </c:pt>
                <c:pt idx="7">
                  <c:v>22053439379959.387</c:v>
                </c:pt>
                <c:pt idx="8">
                  <c:v>22547038537574.477</c:v>
                </c:pt>
                <c:pt idx="9">
                  <c:v>23040637695189.566</c:v>
                </c:pt>
                <c:pt idx="10">
                  <c:v>23534236852804.656</c:v>
                </c:pt>
                <c:pt idx="11">
                  <c:v>23877577514950.918</c:v>
                </c:pt>
                <c:pt idx="12">
                  <c:v>24220918177097.184</c:v>
                </c:pt>
                <c:pt idx="13">
                  <c:v>24564258839243.445</c:v>
                </c:pt>
                <c:pt idx="14">
                  <c:v>24907599501389.711</c:v>
                </c:pt>
                <c:pt idx="15">
                  <c:v>25250940163535.98</c:v>
                </c:pt>
                <c:pt idx="16">
                  <c:v>25472571444352.492</c:v>
                </c:pt>
                <c:pt idx="17">
                  <c:v>25694202725169.008</c:v>
                </c:pt>
                <c:pt idx="18">
                  <c:v>25915834005985.523</c:v>
                </c:pt>
                <c:pt idx="19">
                  <c:v>26137465286802.039</c:v>
                </c:pt>
                <c:pt idx="20">
                  <c:v>26359096567618.555</c:v>
                </c:pt>
                <c:pt idx="21">
                  <c:v>26743007023541.402</c:v>
                </c:pt>
                <c:pt idx="22">
                  <c:v>27016272587346.273</c:v>
                </c:pt>
                <c:pt idx="23">
                  <c:v>27289538151151.234</c:v>
                </c:pt>
                <c:pt idx="24">
                  <c:v>27562803714956.102</c:v>
                </c:pt>
                <c:pt idx="25">
                  <c:v>27836069278760.973</c:v>
                </c:pt>
                <c:pt idx="26">
                  <c:v>28109334842565.84</c:v>
                </c:pt>
                <c:pt idx="27">
                  <c:v>28382600406370.805</c:v>
                </c:pt>
                <c:pt idx="28">
                  <c:v>28655865970175.672</c:v>
                </c:pt>
                <c:pt idx="29">
                  <c:v>28929131533980.539</c:v>
                </c:pt>
                <c:pt idx="30">
                  <c:v>29202397097785.504</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3639376630348.9731</c:v>
                </c:pt>
                <c:pt idx="1">
                  <c:v>3827949444654.7417</c:v>
                </c:pt>
                <c:pt idx="2">
                  <c:v>4016522258960.5117</c:v>
                </c:pt>
                <c:pt idx="3">
                  <c:v>4205095073266.2803</c:v>
                </c:pt>
                <c:pt idx="4">
                  <c:v>4393667887572.0488</c:v>
                </c:pt>
                <c:pt idx="5">
                  <c:v>4582240701877.8184</c:v>
                </c:pt>
                <c:pt idx="6">
                  <c:v>4673885515915.375</c:v>
                </c:pt>
                <c:pt idx="7">
                  <c:v>4765530329952.9316</c:v>
                </c:pt>
                <c:pt idx="8">
                  <c:v>4857175143990.4883</c:v>
                </c:pt>
                <c:pt idx="9">
                  <c:v>4948819958028.0439</c:v>
                </c:pt>
                <c:pt idx="10">
                  <c:v>5040464772065.6006</c:v>
                </c:pt>
                <c:pt idx="11">
                  <c:v>5086287179084.3789</c:v>
                </c:pt>
                <c:pt idx="12">
                  <c:v>5132109586103.1572</c:v>
                </c:pt>
                <c:pt idx="13">
                  <c:v>5177931993121.9355</c:v>
                </c:pt>
                <c:pt idx="14">
                  <c:v>5223754400140.7129</c:v>
                </c:pt>
                <c:pt idx="15">
                  <c:v>5269576807159.4912</c:v>
                </c:pt>
                <c:pt idx="16">
                  <c:v>5283676009319.1152</c:v>
                </c:pt>
                <c:pt idx="17">
                  <c:v>5297775211478.7393</c:v>
                </c:pt>
                <c:pt idx="18">
                  <c:v>5311874413638.3633</c:v>
                </c:pt>
                <c:pt idx="19">
                  <c:v>5325973615797.9873</c:v>
                </c:pt>
                <c:pt idx="20">
                  <c:v>5340072817957.6113</c:v>
                </c:pt>
                <c:pt idx="21">
                  <c:v>5396469626596.1084</c:v>
                </c:pt>
                <c:pt idx="22">
                  <c:v>5424027158089.9141</c:v>
                </c:pt>
                <c:pt idx="23">
                  <c:v>5451584689583.7275</c:v>
                </c:pt>
                <c:pt idx="24">
                  <c:v>5479142221077.5332</c:v>
                </c:pt>
                <c:pt idx="25">
                  <c:v>5506699752571.3467</c:v>
                </c:pt>
                <c:pt idx="26">
                  <c:v>5534257284065.1602</c:v>
                </c:pt>
                <c:pt idx="27">
                  <c:v>5561814815558.9658</c:v>
                </c:pt>
                <c:pt idx="28">
                  <c:v>5589372347052.7793</c:v>
                </c:pt>
                <c:pt idx="29">
                  <c:v>5616929878546.5928</c:v>
                </c:pt>
                <c:pt idx="30">
                  <c:v>5644487410040.3984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4549770542714.2158</c:v>
                </c:pt>
                <c:pt idx="1">
                  <c:v>4785515045915.8086</c:v>
                </c:pt>
                <c:pt idx="2">
                  <c:v>5021259549117.4023</c:v>
                </c:pt>
                <c:pt idx="3">
                  <c:v>5257004052318.9951</c:v>
                </c:pt>
                <c:pt idx="4">
                  <c:v>5492748555520.5879</c:v>
                </c:pt>
                <c:pt idx="5">
                  <c:v>5728493058722.1816</c:v>
                </c:pt>
                <c:pt idx="6">
                  <c:v>5843062919896.625</c:v>
                </c:pt>
                <c:pt idx="7">
                  <c:v>5957632781071.0684</c:v>
                </c:pt>
                <c:pt idx="8">
                  <c:v>6072202642245.5117</c:v>
                </c:pt>
                <c:pt idx="9">
                  <c:v>6186772503419.9561</c:v>
                </c:pt>
                <c:pt idx="10">
                  <c:v>6301342364594.3994</c:v>
                </c:pt>
                <c:pt idx="11">
                  <c:v>6358627295181.6211</c:v>
                </c:pt>
                <c:pt idx="12">
                  <c:v>6415912225768.8428</c:v>
                </c:pt>
                <c:pt idx="13">
                  <c:v>6473197156356.0645</c:v>
                </c:pt>
                <c:pt idx="14">
                  <c:v>6530482086943.2871</c:v>
                </c:pt>
                <c:pt idx="15">
                  <c:v>6587767017530.5088</c:v>
                </c:pt>
                <c:pt idx="16">
                  <c:v>6605393150018.8848</c:v>
                </c:pt>
                <c:pt idx="17">
                  <c:v>6623019282507.2607</c:v>
                </c:pt>
                <c:pt idx="18">
                  <c:v>6640645414995.6367</c:v>
                </c:pt>
                <c:pt idx="19">
                  <c:v>6658271547484.0127</c:v>
                </c:pt>
                <c:pt idx="20">
                  <c:v>6675897679972.3887</c:v>
                </c:pt>
                <c:pt idx="21">
                  <c:v>6746402209925.8916</c:v>
                </c:pt>
                <c:pt idx="22">
                  <c:v>6780853287062.2578</c:v>
                </c:pt>
                <c:pt idx="23">
                  <c:v>6815304364198.6318</c:v>
                </c:pt>
                <c:pt idx="24">
                  <c:v>6849755441334.998</c:v>
                </c:pt>
                <c:pt idx="25">
                  <c:v>6884206518471.3721</c:v>
                </c:pt>
                <c:pt idx="26">
                  <c:v>6918657595607.7461</c:v>
                </c:pt>
                <c:pt idx="27">
                  <c:v>6953108672744.1123</c:v>
                </c:pt>
                <c:pt idx="28">
                  <c:v>6987559749880.4863</c:v>
                </c:pt>
                <c:pt idx="29">
                  <c:v>7022010827016.8604</c:v>
                </c:pt>
                <c:pt idx="30">
                  <c:v>7056461904153.2266</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72052399916674.188</c:v>
                </c:pt>
                <c:pt idx="1">
                  <c:v>78992934626613.547</c:v>
                </c:pt>
                <c:pt idx="2">
                  <c:v>85933469336552.906</c:v>
                </c:pt>
                <c:pt idx="3">
                  <c:v>92874004046492.266</c:v>
                </c:pt>
                <c:pt idx="4">
                  <c:v>99814538756431.609</c:v>
                </c:pt>
                <c:pt idx="5">
                  <c:v>106755073466370.98</c:v>
                </c:pt>
                <c:pt idx="6">
                  <c:v>109256431642811.91</c:v>
                </c:pt>
                <c:pt idx="7">
                  <c:v>111757789819252.91</c:v>
                </c:pt>
                <c:pt idx="8">
                  <c:v>114259147995693.91</c:v>
                </c:pt>
                <c:pt idx="9">
                  <c:v>116760506172134.91</c:v>
                </c:pt>
                <c:pt idx="10">
                  <c:v>119261864348575.92</c:v>
                </c:pt>
                <c:pt idx="11">
                  <c:v>121001774069479.31</c:v>
                </c:pt>
                <c:pt idx="12">
                  <c:v>122741683790382.72</c:v>
                </c:pt>
                <c:pt idx="13">
                  <c:v>124481593511286.13</c:v>
                </c:pt>
                <c:pt idx="14">
                  <c:v>126221503232189.53</c:v>
                </c:pt>
                <c:pt idx="15">
                  <c:v>127961412953092.97</c:v>
                </c:pt>
                <c:pt idx="16">
                  <c:v>129084549425010.89</c:v>
                </c:pt>
                <c:pt idx="17">
                  <c:v>130207685896928.84</c:v>
                </c:pt>
                <c:pt idx="18">
                  <c:v>131330822368846.8</c:v>
                </c:pt>
                <c:pt idx="19">
                  <c:v>132453958840764.75</c:v>
                </c:pt>
                <c:pt idx="20">
                  <c:v>133577095312682.69</c:v>
                </c:pt>
                <c:pt idx="21">
                  <c:v>135522596116581.27</c:v>
                </c:pt>
                <c:pt idx="22">
                  <c:v>136907393966856.55</c:v>
                </c:pt>
                <c:pt idx="23">
                  <c:v>138292191817132.33</c:v>
                </c:pt>
                <c:pt idx="24">
                  <c:v>139676989667407.61</c:v>
                </c:pt>
                <c:pt idx="25">
                  <c:v>141061787517682.91</c:v>
                </c:pt>
                <c:pt idx="26">
                  <c:v>142446585367958.19</c:v>
                </c:pt>
                <c:pt idx="27">
                  <c:v>143831383218233.94</c:v>
                </c:pt>
                <c:pt idx="28">
                  <c:v>145216181068509.25</c:v>
                </c:pt>
                <c:pt idx="29">
                  <c:v>146600978918784.53</c:v>
                </c:pt>
                <c:pt idx="30">
                  <c:v>147985776769060.28</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General</c:formatCode>
                <c:ptCount val="31"/>
                <c:pt idx="0">
                  <c:v>955882391300331</c:v>
                </c:pt>
                <c:pt idx="1">
                  <c:v>1000520325478848.8</c:v>
                </c:pt>
                <c:pt idx="2">
                  <c:v>1045158259657366.6</c:v>
                </c:pt>
                <c:pt idx="3">
                  <c:v>1089796193835884.4</c:v>
                </c:pt>
                <c:pt idx="4">
                  <c:v>1134434128014402.3</c:v>
                </c:pt>
                <c:pt idx="5">
                  <c:v>1179072062192920</c:v>
                </c:pt>
                <c:pt idx="6">
                  <c:v>1188034469230978</c:v>
                </c:pt>
                <c:pt idx="7">
                  <c:v>1196996876269038</c:v>
                </c:pt>
                <c:pt idx="8">
                  <c:v>1205959283307098</c:v>
                </c:pt>
                <c:pt idx="9">
                  <c:v>1214921690345158</c:v>
                </c:pt>
                <c:pt idx="10">
                  <c:v>1223884097383220</c:v>
                </c:pt>
                <c:pt idx="11">
                  <c:v>1221925057968706.5</c:v>
                </c:pt>
                <c:pt idx="12">
                  <c:v>1219966018554192.5</c:v>
                </c:pt>
                <c:pt idx="13">
                  <c:v>1218006979139678.5</c:v>
                </c:pt>
                <c:pt idx="14">
                  <c:v>1216047939725164.5</c:v>
                </c:pt>
                <c:pt idx="15">
                  <c:v>1214088900310650</c:v>
                </c:pt>
                <c:pt idx="16">
                  <c:v>1206316193321890</c:v>
                </c:pt>
                <c:pt idx="17">
                  <c:v>1198543486333130</c:v>
                </c:pt>
                <c:pt idx="18">
                  <c:v>1190770779344370</c:v>
                </c:pt>
                <c:pt idx="19">
                  <c:v>1182998072355610</c:v>
                </c:pt>
                <c:pt idx="20">
                  <c:v>1175225365366850</c:v>
                </c:pt>
                <c:pt idx="21">
                  <c:v>1175204215143750</c:v>
                </c:pt>
                <c:pt idx="22">
                  <c:v>1169897912580428</c:v>
                </c:pt>
                <c:pt idx="23">
                  <c:v>1164591610017106</c:v>
                </c:pt>
                <c:pt idx="24">
                  <c:v>1159285307453784</c:v>
                </c:pt>
                <c:pt idx="25">
                  <c:v>1153979004890462</c:v>
                </c:pt>
                <c:pt idx="26">
                  <c:v>1148672702327138</c:v>
                </c:pt>
                <c:pt idx="27">
                  <c:v>1143366399763816</c:v>
                </c:pt>
                <c:pt idx="28">
                  <c:v>1138060097200494</c:v>
                </c:pt>
                <c:pt idx="29">
                  <c:v>1132753794637172</c:v>
                </c:pt>
                <c:pt idx="30">
                  <c:v>1127447492073850</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79676747810506.031</c:v>
                </c:pt>
                <c:pt idx="1">
                  <c:v>80395000153035.156</c:v>
                </c:pt>
                <c:pt idx="2">
                  <c:v>81113252495564.297</c:v>
                </c:pt>
                <c:pt idx="3">
                  <c:v>81831504838093.406</c:v>
                </c:pt>
                <c:pt idx="4">
                  <c:v>82549757180622.547</c:v>
                </c:pt>
                <c:pt idx="5">
                  <c:v>83268009523151.672</c:v>
                </c:pt>
                <c:pt idx="6">
                  <c:v>82629262315164.469</c:v>
                </c:pt>
                <c:pt idx="7">
                  <c:v>81990515107177.25</c:v>
                </c:pt>
                <c:pt idx="8">
                  <c:v>81351767899190.047</c:v>
                </c:pt>
                <c:pt idx="9">
                  <c:v>80713020691202.844</c:v>
                </c:pt>
                <c:pt idx="10">
                  <c:v>80074273483215.625</c:v>
                </c:pt>
                <c:pt idx="11">
                  <c:v>79397047527759.313</c:v>
                </c:pt>
                <c:pt idx="12">
                  <c:v>78719821572303</c:v>
                </c:pt>
                <c:pt idx="13">
                  <c:v>78042595616846.688</c:v>
                </c:pt>
                <c:pt idx="14">
                  <c:v>77365369661390.359</c:v>
                </c:pt>
                <c:pt idx="15">
                  <c:v>76688143705934.047</c:v>
                </c:pt>
                <c:pt idx="16">
                  <c:v>76126353992885.063</c:v>
                </c:pt>
                <c:pt idx="17">
                  <c:v>75564564279836.063</c:v>
                </c:pt>
                <c:pt idx="18">
                  <c:v>75002774566787.078</c:v>
                </c:pt>
                <c:pt idx="19">
                  <c:v>74440984853738.094</c:v>
                </c:pt>
                <c:pt idx="20">
                  <c:v>73879195140689.094</c:v>
                </c:pt>
                <c:pt idx="21">
                  <c:v>73163490437763.672</c:v>
                </c:pt>
                <c:pt idx="22">
                  <c:v>72552727773390.25</c:v>
                </c:pt>
                <c:pt idx="23">
                  <c:v>71941965109017.078</c:v>
                </c:pt>
                <c:pt idx="24">
                  <c:v>71331202444643.656</c:v>
                </c:pt>
                <c:pt idx="25">
                  <c:v>70720439780270.469</c:v>
                </c:pt>
                <c:pt idx="26">
                  <c:v>70109677115897.055</c:v>
                </c:pt>
                <c:pt idx="27">
                  <c:v>69498914451523.875</c:v>
                </c:pt>
                <c:pt idx="28">
                  <c:v>68888151787150.453</c:v>
                </c:pt>
                <c:pt idx="29">
                  <c:v>68277389122777.031</c:v>
                </c:pt>
                <c:pt idx="30">
                  <c:v>67666626458403.859</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2439084116648.1553</c:v>
                </c:pt>
                <c:pt idx="1">
                  <c:v>2461071433256.1899</c:v>
                </c:pt>
                <c:pt idx="2">
                  <c:v>2483058749864.2246</c:v>
                </c:pt>
                <c:pt idx="3">
                  <c:v>2505046066472.2593</c:v>
                </c:pt>
                <c:pt idx="4">
                  <c:v>2527033383080.2939</c:v>
                </c:pt>
                <c:pt idx="5">
                  <c:v>2549020699688.3286</c:v>
                </c:pt>
                <c:pt idx="6">
                  <c:v>2529467213729.5366</c:v>
                </c:pt>
                <c:pt idx="7">
                  <c:v>2509913727770.7441</c:v>
                </c:pt>
                <c:pt idx="8">
                  <c:v>2490360241811.9521</c:v>
                </c:pt>
                <c:pt idx="9">
                  <c:v>2470806755853.1602</c:v>
                </c:pt>
                <c:pt idx="10">
                  <c:v>2451253269894.3677</c:v>
                </c:pt>
                <c:pt idx="11">
                  <c:v>2430521863094.6846</c:v>
                </c:pt>
                <c:pt idx="12">
                  <c:v>2409790456295.0015</c:v>
                </c:pt>
                <c:pt idx="13">
                  <c:v>2389059049495.3179</c:v>
                </c:pt>
                <c:pt idx="14">
                  <c:v>2368327642695.6348</c:v>
                </c:pt>
                <c:pt idx="15">
                  <c:v>2347596235895.9517</c:v>
                </c:pt>
                <c:pt idx="16">
                  <c:v>2330398591618.9414</c:v>
                </c:pt>
                <c:pt idx="17">
                  <c:v>2313200947341.9316</c:v>
                </c:pt>
                <c:pt idx="18">
                  <c:v>2296003303064.9214</c:v>
                </c:pt>
                <c:pt idx="19">
                  <c:v>2278805658787.9116</c:v>
                </c:pt>
                <c:pt idx="20">
                  <c:v>2261608014510.9014</c:v>
                </c:pt>
                <c:pt idx="21">
                  <c:v>2239698686870.3271</c:v>
                </c:pt>
                <c:pt idx="22">
                  <c:v>2221001870613.998</c:v>
                </c:pt>
                <c:pt idx="23">
                  <c:v>2202305054357.6763</c:v>
                </c:pt>
                <c:pt idx="24">
                  <c:v>2183608238101.3467</c:v>
                </c:pt>
                <c:pt idx="25">
                  <c:v>2164911421845.0249</c:v>
                </c:pt>
                <c:pt idx="26">
                  <c:v>2146214605588.6956</c:v>
                </c:pt>
                <c:pt idx="27">
                  <c:v>2127517789332.3738</c:v>
                </c:pt>
                <c:pt idx="28">
                  <c:v>2108820973076.0444</c:v>
                </c:pt>
                <c:pt idx="29">
                  <c:v>2090124156819.7151</c:v>
                </c:pt>
                <c:pt idx="30">
                  <c:v>2071427340563.3933</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62124983731826.484</c:v>
                </c:pt>
                <c:pt idx="1">
                  <c:v>68109248051180.227</c:v>
                </c:pt>
                <c:pt idx="2">
                  <c:v>74093512370533.969</c:v>
                </c:pt>
                <c:pt idx="3">
                  <c:v>80077776689887.703</c:v>
                </c:pt>
                <c:pt idx="4">
                  <c:v>86062041009241.438</c:v>
                </c:pt>
                <c:pt idx="5">
                  <c:v>92046305328595.188</c:v>
                </c:pt>
                <c:pt idx="6">
                  <c:v>94203025107514.063</c:v>
                </c:pt>
                <c:pt idx="7">
                  <c:v>96359744886433</c:v>
                </c:pt>
                <c:pt idx="8">
                  <c:v>98516464665351.938</c:v>
                </c:pt>
                <c:pt idx="9">
                  <c:v>100673184444270.88</c:v>
                </c:pt>
                <c:pt idx="10">
                  <c:v>102829904223189.81</c:v>
                </c:pt>
                <c:pt idx="11">
                  <c:v>104330088300763.56</c:v>
                </c:pt>
                <c:pt idx="12">
                  <c:v>105830272378337.31</c:v>
                </c:pt>
                <c:pt idx="13">
                  <c:v>107330456455911.06</c:v>
                </c:pt>
                <c:pt idx="14">
                  <c:v>108830640533484.81</c:v>
                </c:pt>
                <c:pt idx="15">
                  <c:v>110330824611058.58</c:v>
                </c:pt>
                <c:pt idx="16">
                  <c:v>111299214770542.7</c:v>
                </c:pt>
                <c:pt idx="17">
                  <c:v>112267604930026.86</c:v>
                </c:pt>
                <c:pt idx="18">
                  <c:v>113235995089511</c:v>
                </c:pt>
                <c:pt idx="19">
                  <c:v>114204385248995.16</c:v>
                </c:pt>
                <c:pt idx="20">
                  <c:v>115172775408479.3</c:v>
                </c:pt>
                <c:pt idx="21">
                  <c:v>116850224125416.27</c:v>
                </c:pt>
                <c:pt idx="22">
                  <c:v>118044223825908</c:v>
                </c:pt>
                <c:pt idx="23">
                  <c:v>119238223526400.17</c:v>
                </c:pt>
                <c:pt idx="24">
                  <c:v>120432223226891.91</c:v>
                </c:pt>
                <c:pt idx="25">
                  <c:v>121626222927383.66</c:v>
                </c:pt>
                <c:pt idx="26">
                  <c:v>122820222627875.41</c:v>
                </c:pt>
                <c:pt idx="27">
                  <c:v>124014222328367.56</c:v>
                </c:pt>
                <c:pt idx="28">
                  <c:v>125208222028859.31</c:v>
                </c:pt>
                <c:pt idx="29">
                  <c:v>126402221729351.06</c:v>
                </c:pt>
                <c:pt idx="30">
                  <c:v>127596221429843.22</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17606129862.968643</c:v>
                </c:pt>
                <c:pt idx="1">
                  <c:v>19302061650.986099</c:v>
                </c:pt>
                <c:pt idx="2">
                  <c:v>20997993439.003548</c:v>
                </c:pt>
                <c:pt idx="3">
                  <c:v>22693925227.021</c:v>
                </c:pt>
                <c:pt idx="4">
                  <c:v>24389857015.038452</c:v>
                </c:pt>
                <c:pt idx="5">
                  <c:v>26085788803.055904</c:v>
                </c:pt>
                <c:pt idx="6">
                  <c:v>26697000045.695248</c:v>
                </c:pt>
                <c:pt idx="7">
                  <c:v>27308211288.33461</c:v>
                </c:pt>
                <c:pt idx="8">
                  <c:v>27919422530.973972</c:v>
                </c:pt>
                <c:pt idx="9">
                  <c:v>28530633773.613335</c:v>
                </c:pt>
                <c:pt idx="10">
                  <c:v>29141845016.252701</c:v>
                </c:pt>
                <c:pt idx="11">
                  <c:v>29566994997.814629</c:v>
                </c:pt>
                <c:pt idx="12">
                  <c:v>29992144979.37656</c:v>
                </c:pt>
                <c:pt idx="13">
                  <c:v>30417294960.938492</c:v>
                </c:pt>
                <c:pt idx="14">
                  <c:v>30842444942.50042</c:v>
                </c:pt>
                <c:pt idx="15">
                  <c:v>31267594924.062359</c:v>
                </c:pt>
                <c:pt idx="16">
                  <c:v>31542035284.151562</c:v>
                </c:pt>
                <c:pt idx="17">
                  <c:v>31816475644.240776</c:v>
                </c:pt>
                <c:pt idx="18">
                  <c:v>32090916004.329987</c:v>
                </c:pt>
                <c:pt idx="19">
                  <c:v>32365356364.419197</c:v>
                </c:pt>
                <c:pt idx="20">
                  <c:v>32639796724.508404</c:v>
                </c:pt>
                <c:pt idx="21">
                  <c:v>33115183246.561245</c:v>
                </c:pt>
                <c:pt idx="22">
                  <c:v>33453561021.820671</c:v>
                </c:pt>
                <c:pt idx="23">
                  <c:v>33791938797.080212</c:v>
                </c:pt>
                <c:pt idx="24">
                  <c:v>34130316572.339634</c:v>
                </c:pt>
                <c:pt idx="25">
                  <c:v>34468694347.59906</c:v>
                </c:pt>
                <c:pt idx="26">
                  <c:v>34807072122.858482</c:v>
                </c:pt>
                <c:pt idx="27">
                  <c:v>35145449898.118027</c:v>
                </c:pt>
                <c:pt idx="28">
                  <c:v>35483827673.377449</c:v>
                </c:pt>
                <c:pt idx="29">
                  <c:v>35822205448.636871</c:v>
                </c:pt>
                <c:pt idx="30">
                  <c:v>36160583223.896416</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'BIFUbC-natural-gas'!$A$2</c:f>
              <c:strCache>
                <c:ptCount val="1"/>
                <c:pt idx="0">
                  <c:v>agriculture and forestry 01T03</c:v>
                </c:pt>
              </c:strCache>
            </c:strRef>
          </c:tx>
          <c:spPr>
            <a:ln w="28575" cap="rnd">
              <a:solidFill>
                <a:schemeClr val="accent1"/>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'BIFUbC-natural-gas'!$B$2:$AF$2</c:f>
              <c:numCache>
                <c:formatCode>0.00E+00</c:formatCode>
                <c:ptCount val="31"/>
                <c:pt idx="0">
                  <c:v>2519586998.184525</c:v>
                </c:pt>
                <c:pt idx="1">
                  <c:v>2333608263.3715711</c:v>
                </c:pt>
                <c:pt idx="2">
                  <c:v>2147629528.5586166</c:v>
                </c:pt>
                <c:pt idx="3">
                  <c:v>1961650793.7456622</c:v>
                </c:pt>
                <c:pt idx="4">
                  <c:v>1775672058.9327078</c:v>
                </c:pt>
                <c:pt idx="5">
                  <c:v>1589693324.1197531</c:v>
                </c:pt>
                <c:pt idx="6">
                  <c:v>1616679070.3370383</c:v>
                </c:pt>
                <c:pt idx="7">
                  <c:v>1643664816.5543232</c:v>
                </c:pt>
                <c:pt idx="8">
                  <c:v>1670650562.7716081</c:v>
                </c:pt>
                <c:pt idx="9">
                  <c:v>1697636308.988893</c:v>
                </c:pt>
                <c:pt idx="10">
                  <c:v>1724622055.2061784</c:v>
                </c:pt>
                <c:pt idx="11">
                  <c:v>1752840652.7734909</c:v>
                </c:pt>
                <c:pt idx="12">
                  <c:v>1781059250.3408041</c:v>
                </c:pt>
                <c:pt idx="13">
                  <c:v>1809277847.9081173</c:v>
                </c:pt>
                <c:pt idx="14">
                  <c:v>1837496445.4754305</c:v>
                </c:pt>
                <c:pt idx="15">
                  <c:v>1865715043.0427439</c:v>
                </c:pt>
                <c:pt idx="16">
                  <c:v>1897769178.1434779</c:v>
                </c:pt>
                <c:pt idx="17">
                  <c:v>1929823313.2442124</c:v>
                </c:pt>
                <c:pt idx="18">
                  <c:v>1961877448.3449466</c:v>
                </c:pt>
                <c:pt idx="19">
                  <c:v>1993931583.4456811</c:v>
                </c:pt>
                <c:pt idx="20">
                  <c:v>2025985718.5464144</c:v>
                </c:pt>
                <c:pt idx="21">
                  <c:v>2052925803.6025853</c:v>
                </c:pt>
                <c:pt idx="22">
                  <c:v>2083352740.9618645</c:v>
                </c:pt>
                <c:pt idx="23">
                  <c:v>2113779678.3211524</c:v>
                </c:pt>
                <c:pt idx="24">
                  <c:v>2144206615.6804318</c:v>
                </c:pt>
                <c:pt idx="25">
                  <c:v>2174633553.0397196</c:v>
                </c:pt>
                <c:pt idx="26">
                  <c:v>2205060490.3989987</c:v>
                </c:pt>
                <c:pt idx="27">
                  <c:v>2235487427.758287</c:v>
                </c:pt>
                <c:pt idx="28">
                  <c:v>2265914365.1175661</c:v>
                </c:pt>
                <c:pt idx="29">
                  <c:v>2296341302.4768453</c:v>
                </c:pt>
                <c:pt idx="30">
                  <c:v>2326768239.8361335</c:v>
                </c:pt>
              </c:numCache>
            </c:numRef>
          </c:val>
          <c:smooth val="0"/>
          <c:extLst>
            <c:ext xmlns:c16="http://schemas.microsoft.com/office/drawing/2014/chart" uri="{C3380CC4-5D6E-409C-BE32-E72D297353CC}">
              <c16:uniqueId val="{00000000-9B0E-4789-92E7-780CE951D50E}"/>
            </c:ext>
          </c:extLst>
        </c:ser>
        <c:ser>
          <c:idx val="1"/>
          <c:order val="1"/>
          <c:tx>
            <c:strRef>
              <c:f>'BIFUbC-natural-gas'!$A$3</c:f>
              <c:strCache>
                <c:ptCount val="1"/>
                <c:pt idx="0">
                  <c:v>coal mining 05</c:v>
                </c:pt>
              </c:strCache>
            </c:strRef>
          </c:tx>
          <c:spPr>
            <a:ln w="28575" cap="rnd">
              <a:solidFill>
                <a:schemeClr val="accent2"/>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9B0E-4789-92E7-780CE951D50E}"/>
            </c:ext>
          </c:extLst>
        </c:ser>
        <c:ser>
          <c:idx val="2"/>
          <c:order val="2"/>
          <c:tx>
            <c:strRef>
              <c:f>'BIFUbC-natural-gas'!$A$4</c:f>
              <c:strCache>
                <c:ptCount val="1"/>
                <c:pt idx="0">
                  <c:v>oil and gas extraction 06</c:v>
                </c:pt>
              </c:strCache>
            </c:strRef>
          </c:tx>
          <c:spPr>
            <a:ln w="28575" cap="rnd">
              <a:solidFill>
                <a:schemeClr val="accent3"/>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B0E-4789-92E7-780CE951D50E}"/>
            </c:ext>
          </c:extLst>
        </c:ser>
        <c:ser>
          <c:idx val="3"/>
          <c:order val="3"/>
          <c:tx>
            <c:strRef>
              <c:f>'BIFUbC-natural-gas'!$A$5</c:f>
              <c:strCache>
                <c:ptCount val="1"/>
                <c:pt idx="0">
                  <c:v>other mining and quarrying 07T08</c:v>
                </c:pt>
              </c:strCache>
            </c:strRef>
          </c:tx>
          <c:spPr>
            <a:ln w="28575" cap="rnd">
              <a:solidFill>
                <a:schemeClr val="accent4"/>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9B0E-4789-92E7-780CE951D50E}"/>
            </c:ext>
          </c:extLst>
        </c:ser>
        <c:ser>
          <c:idx val="4"/>
          <c:order val="4"/>
          <c:tx>
            <c:strRef>
              <c:f>'BIFUbC-natural-gas'!$A$6</c:f>
              <c:strCache>
                <c:ptCount val="1"/>
                <c:pt idx="0">
                  <c:v>food beverage and tobacco 10T12</c:v>
                </c:pt>
              </c:strCache>
            </c:strRef>
          </c:tx>
          <c:spPr>
            <a:ln w="28575" cap="rnd">
              <a:solidFill>
                <a:schemeClr val="accent5"/>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'BIFUbC-natural-gas'!$B$6:$AF$6</c:f>
              <c:numCache>
                <c:formatCode>0.00E+00</c:formatCode>
                <c:ptCount val="31"/>
                <c:pt idx="0">
                  <c:v>49927214155903.266</c:v>
                </c:pt>
                <c:pt idx="1">
                  <c:v>46241927587850.313</c:v>
                </c:pt>
                <c:pt idx="2">
                  <c:v>42556641019797.344</c:v>
                </c:pt>
                <c:pt idx="3">
                  <c:v>38871354451744.383</c:v>
                </c:pt>
                <c:pt idx="4">
                  <c:v>35186067883691.414</c:v>
                </c:pt>
                <c:pt idx="5">
                  <c:v>31500781315638.449</c:v>
                </c:pt>
                <c:pt idx="6">
                  <c:v>32035520989846.191</c:v>
                </c:pt>
                <c:pt idx="7">
                  <c:v>32570260664053.926</c:v>
                </c:pt>
                <c:pt idx="8">
                  <c:v>33105000338261.66</c:v>
                </c:pt>
                <c:pt idx="9">
                  <c:v>33639740012469.398</c:v>
                </c:pt>
                <c:pt idx="10">
                  <c:v>34174479686677.145</c:v>
                </c:pt>
                <c:pt idx="11">
                  <c:v>34733649092193.852</c:v>
                </c:pt>
                <c:pt idx="12">
                  <c:v>35292818497710.57</c:v>
                </c:pt>
                <c:pt idx="13">
                  <c:v>35851987903227.289</c:v>
                </c:pt>
                <c:pt idx="14">
                  <c:v>36411157308744.008</c:v>
                </c:pt>
                <c:pt idx="15">
                  <c:v>36970326714260.734</c:v>
                </c:pt>
                <c:pt idx="16">
                  <c:v>37605499728294.281</c:v>
                </c:pt>
                <c:pt idx="17">
                  <c:v>38240672742327.836</c:v>
                </c:pt>
                <c:pt idx="18">
                  <c:v>38875845756361.391</c:v>
                </c:pt>
                <c:pt idx="19">
                  <c:v>39511018770394.945</c:v>
                </c:pt>
                <c:pt idx="20">
                  <c:v>40146191784428.477</c:v>
                </c:pt>
                <c:pt idx="21">
                  <c:v>40680026653772.883</c:v>
                </c:pt>
                <c:pt idx="22">
                  <c:v>41282955712678.008</c:v>
                </c:pt>
                <c:pt idx="23">
                  <c:v>41885884771583.305</c:v>
                </c:pt>
                <c:pt idx="24">
                  <c:v>42488813830488.438</c:v>
                </c:pt>
                <c:pt idx="25">
                  <c:v>43091742889393.734</c:v>
                </c:pt>
                <c:pt idx="26">
                  <c:v>43694671948298.859</c:v>
                </c:pt>
                <c:pt idx="27">
                  <c:v>44297601007204.156</c:v>
                </c:pt>
                <c:pt idx="28">
                  <c:v>44900530066109.289</c:v>
                </c:pt>
                <c:pt idx="29">
                  <c:v>45503459125014.414</c:v>
                </c:pt>
                <c:pt idx="30">
                  <c:v>46106388183919.711</c:v>
                </c:pt>
              </c:numCache>
            </c:numRef>
          </c:val>
          <c:smooth val="0"/>
          <c:extLst>
            <c:ext xmlns:c16="http://schemas.microsoft.com/office/drawing/2014/chart" uri="{C3380CC4-5D6E-409C-BE32-E72D297353CC}">
              <c16:uniqueId val="{00000004-9B0E-4789-92E7-780CE951D50E}"/>
            </c:ext>
          </c:extLst>
        </c:ser>
        <c:ser>
          <c:idx val="5"/>
          <c:order val="5"/>
          <c:tx>
            <c:strRef>
              <c:f>'BIFUbC-natural-gas'!$A$7</c:f>
              <c:strCache>
                <c:ptCount val="1"/>
                <c:pt idx="0">
                  <c:v>textiles apparel and leather 13T15</c:v>
                </c:pt>
              </c:strCache>
            </c:strRef>
          </c:tx>
          <c:spPr>
            <a:ln w="28575" cap="rnd">
              <a:solidFill>
                <a:schemeClr val="accent6"/>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'BIFUbC-natural-gas'!$B$7:$AF$7</c:f>
              <c:numCache>
                <c:formatCode>0.00E+00</c:formatCode>
                <c:ptCount val="31"/>
                <c:pt idx="0">
                  <c:v>16037355603468.762</c:v>
                </c:pt>
                <c:pt idx="1">
                  <c:v>14853587348184.201</c:v>
                </c:pt>
                <c:pt idx="2">
                  <c:v>13669819092899.637</c:v>
                </c:pt>
                <c:pt idx="3">
                  <c:v>12486050837615.074</c:v>
                </c:pt>
                <c:pt idx="4">
                  <c:v>11302282582330.51</c:v>
                </c:pt>
                <c:pt idx="5">
                  <c:v>10118514327045.945</c:v>
                </c:pt>
                <c:pt idx="6">
                  <c:v>10290280576285.762</c:v>
                </c:pt>
                <c:pt idx="7">
                  <c:v>10462046825525.576</c:v>
                </c:pt>
                <c:pt idx="8">
                  <c:v>10633813074765.393</c:v>
                </c:pt>
                <c:pt idx="9">
                  <c:v>10805579324005.207</c:v>
                </c:pt>
                <c:pt idx="10">
                  <c:v>10977345573245.025</c:v>
                </c:pt>
                <c:pt idx="11">
                  <c:v>11156959011536.402</c:v>
                </c:pt>
                <c:pt idx="12">
                  <c:v>11336572449827.781</c:v>
                </c:pt>
                <c:pt idx="13">
                  <c:v>11516185888119.162</c:v>
                </c:pt>
                <c:pt idx="14">
                  <c:v>11695799326410.541</c:v>
                </c:pt>
                <c:pt idx="15">
                  <c:v>11875412764701.924</c:v>
                </c:pt>
                <c:pt idx="16">
                  <c:v>12079439680042.615</c:v>
                </c:pt>
                <c:pt idx="17">
                  <c:v>12283466595383.309</c:v>
                </c:pt>
                <c:pt idx="18">
                  <c:v>12487493510724.002</c:v>
                </c:pt>
                <c:pt idx="19">
                  <c:v>12691520426064.697</c:v>
                </c:pt>
                <c:pt idx="20">
                  <c:v>12895547341405.383</c:v>
                </c:pt>
                <c:pt idx="21">
                  <c:v>13067022954013.648</c:v>
                </c:pt>
                <c:pt idx="22">
                  <c:v>13260692636666.73</c:v>
                </c:pt>
                <c:pt idx="23">
                  <c:v>13454362319319.869</c:v>
                </c:pt>
                <c:pt idx="24">
                  <c:v>13648032001972.951</c:v>
                </c:pt>
                <c:pt idx="25">
                  <c:v>13841701684626.088</c:v>
                </c:pt>
                <c:pt idx="26">
                  <c:v>14035371367279.172</c:v>
                </c:pt>
                <c:pt idx="27">
                  <c:v>14229041049932.309</c:v>
                </c:pt>
                <c:pt idx="28">
                  <c:v>14422710732585.393</c:v>
                </c:pt>
                <c:pt idx="29">
                  <c:v>14616380415238.475</c:v>
                </c:pt>
                <c:pt idx="30">
                  <c:v>14810050097891.613</c:v>
                </c:pt>
              </c:numCache>
            </c:numRef>
          </c:val>
          <c:smooth val="0"/>
          <c:extLst>
            <c:ext xmlns:c16="http://schemas.microsoft.com/office/drawing/2014/chart" uri="{C3380CC4-5D6E-409C-BE32-E72D297353CC}">
              <c16:uniqueId val="{00000005-9B0E-4789-92E7-780CE951D50E}"/>
            </c:ext>
          </c:extLst>
        </c:ser>
        <c:ser>
          <c:idx val="6"/>
          <c:order val="6"/>
          <c:tx>
            <c:strRef>
              <c:f>'BIFUbC-natural-gas'!$A$8</c:f>
              <c:strCache>
                <c:ptCount val="1"/>
                <c:pt idx="0">
                  <c:v>wood products 16</c:v>
                </c:pt>
              </c:strCache>
            </c:strRef>
          </c:tx>
          <c:spPr>
            <a:ln w="28575" cap="rnd">
              <a:solidFill>
                <a:schemeClr val="accent1">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'BIFUbC-natural-gas'!$B$8:$AF$8</c:f>
              <c:numCache>
                <c:formatCode>0.00E+00</c:formatCode>
                <c:ptCount val="31"/>
                <c:pt idx="0">
                  <c:v>1659240218316.6387</c:v>
                </c:pt>
                <c:pt idx="1">
                  <c:v>1536766417342.2542</c:v>
                </c:pt>
                <c:pt idx="2">
                  <c:v>1414292616367.8696</c:v>
                </c:pt>
                <c:pt idx="3">
                  <c:v>1291818815393.4849</c:v>
                </c:pt>
                <c:pt idx="4">
                  <c:v>1169345014419.1003</c:v>
                </c:pt>
                <c:pt idx="5">
                  <c:v>1046871213444.7155</c:v>
                </c:pt>
                <c:pt idx="6">
                  <c:v>1064642314612.1959</c:v>
                </c:pt>
                <c:pt idx="7">
                  <c:v>1082413415779.6763</c:v>
                </c:pt>
                <c:pt idx="8">
                  <c:v>1100184516947.1565</c:v>
                </c:pt>
                <c:pt idx="9">
                  <c:v>1117955618114.637</c:v>
                </c:pt>
                <c:pt idx="10">
                  <c:v>1135726719282.1174</c:v>
                </c:pt>
                <c:pt idx="11">
                  <c:v>1154309698167.9087</c:v>
                </c:pt>
                <c:pt idx="12">
                  <c:v>1172892677053.7004</c:v>
                </c:pt>
                <c:pt idx="13">
                  <c:v>1191475655939.4919</c:v>
                </c:pt>
                <c:pt idx="14">
                  <c:v>1210058634825.2834</c:v>
                </c:pt>
                <c:pt idx="15">
                  <c:v>1228641613711.0754</c:v>
                </c:pt>
                <c:pt idx="16">
                  <c:v>1249750434387.1685</c:v>
                </c:pt>
                <c:pt idx="17">
                  <c:v>1270859255063.262</c:v>
                </c:pt>
                <c:pt idx="18">
                  <c:v>1291968075739.3552</c:v>
                </c:pt>
                <c:pt idx="19">
                  <c:v>1313076896415.4485</c:v>
                </c:pt>
                <c:pt idx="20">
                  <c:v>1334185717091.5413</c:v>
                </c:pt>
                <c:pt idx="21">
                  <c:v>1351926748713.8977</c:v>
                </c:pt>
                <c:pt idx="22">
                  <c:v>1371964000145.6182</c:v>
                </c:pt>
                <c:pt idx="23">
                  <c:v>1392001251577.3445</c:v>
                </c:pt>
                <c:pt idx="24">
                  <c:v>1412038503009.0649</c:v>
                </c:pt>
                <c:pt idx="25">
                  <c:v>1432075754440.791</c:v>
                </c:pt>
                <c:pt idx="26">
                  <c:v>1452113005872.5117</c:v>
                </c:pt>
                <c:pt idx="27">
                  <c:v>1472150257304.2378</c:v>
                </c:pt>
                <c:pt idx="28">
                  <c:v>1492187508735.9583</c:v>
                </c:pt>
                <c:pt idx="29">
                  <c:v>1512224760167.6787</c:v>
                </c:pt>
                <c:pt idx="30">
                  <c:v>1532262011599.405</c:v>
                </c:pt>
              </c:numCache>
            </c:numRef>
          </c:val>
          <c:smooth val="0"/>
          <c:extLst>
            <c:ext xmlns:c16="http://schemas.microsoft.com/office/drawing/2014/chart" uri="{C3380CC4-5D6E-409C-BE32-E72D297353CC}">
              <c16:uniqueId val="{00000006-9B0E-4789-92E7-780CE951D50E}"/>
            </c:ext>
          </c:extLst>
        </c:ser>
        <c:ser>
          <c:idx val="7"/>
          <c:order val="7"/>
          <c:tx>
            <c:strRef>
              <c:f>'BIFUbC-natural-gas'!$A$9</c:f>
              <c:strCache>
                <c:ptCount val="1"/>
                <c:pt idx="0">
                  <c:v>pulp paper and printing 17T18</c:v>
                </c:pt>
              </c:strCache>
            </c:strRef>
          </c:tx>
          <c:spPr>
            <a:ln w="28575" cap="rnd">
              <a:solidFill>
                <a:schemeClr val="accent2">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'BIFUbC-natural-gas'!$B$9:$AF$9</c:f>
              <c:numCache>
                <c:formatCode>0.00E+00</c:formatCode>
                <c:ptCount val="31"/>
                <c:pt idx="0">
                  <c:v>17984504726334.047</c:v>
                </c:pt>
                <c:pt idx="1">
                  <c:v>16657011197572.693</c:v>
                </c:pt>
                <c:pt idx="2">
                  <c:v>15329517668811.34</c:v>
                </c:pt>
                <c:pt idx="3">
                  <c:v>14002024140049.984</c:v>
                </c:pt>
                <c:pt idx="4">
                  <c:v>12674530611288.629</c:v>
                </c:pt>
                <c:pt idx="5">
                  <c:v>11347037082527.271</c:v>
                </c:pt>
                <c:pt idx="6">
                  <c:v>11539658048081.594</c:v>
                </c:pt>
                <c:pt idx="7">
                  <c:v>11732279013635.912</c:v>
                </c:pt>
                <c:pt idx="8">
                  <c:v>11924899979190.23</c:v>
                </c:pt>
                <c:pt idx="9">
                  <c:v>12117520944744.551</c:v>
                </c:pt>
                <c:pt idx="10">
                  <c:v>12310141910298.873</c:v>
                </c:pt>
                <c:pt idx="11">
                  <c:v>12511562818441.965</c:v>
                </c:pt>
                <c:pt idx="12">
                  <c:v>12712983726585.059</c:v>
                </c:pt>
                <c:pt idx="13">
                  <c:v>12914404634728.154</c:v>
                </c:pt>
                <c:pt idx="14">
                  <c:v>13115825542871.25</c:v>
                </c:pt>
                <c:pt idx="15">
                  <c:v>13317246451014.346</c:v>
                </c:pt>
                <c:pt idx="16">
                  <c:v>13546044958322.521</c:v>
                </c:pt>
                <c:pt idx="17">
                  <c:v>13774843465630.697</c:v>
                </c:pt>
                <c:pt idx="18">
                  <c:v>14003641972938.873</c:v>
                </c:pt>
                <c:pt idx="19">
                  <c:v>14232440480247.049</c:v>
                </c:pt>
                <c:pt idx="20">
                  <c:v>14461238987555.217</c:v>
                </c:pt>
                <c:pt idx="21">
                  <c:v>14653534029309.939</c:v>
                </c:pt>
                <c:pt idx="22">
                  <c:v>14870717797578.357</c:v>
                </c:pt>
                <c:pt idx="23">
                  <c:v>15087901565846.838</c:v>
                </c:pt>
                <c:pt idx="24">
                  <c:v>15305085334115.256</c:v>
                </c:pt>
                <c:pt idx="25">
                  <c:v>15522269102383.736</c:v>
                </c:pt>
                <c:pt idx="26">
                  <c:v>15739452870652.154</c:v>
                </c:pt>
                <c:pt idx="27">
                  <c:v>15956636638920.635</c:v>
                </c:pt>
                <c:pt idx="28">
                  <c:v>16173820407189.053</c:v>
                </c:pt>
                <c:pt idx="29">
                  <c:v>16391004175457.473</c:v>
                </c:pt>
                <c:pt idx="30">
                  <c:v>16608187943725.951</c:v>
                </c:pt>
              </c:numCache>
            </c:numRef>
          </c:val>
          <c:smooth val="0"/>
          <c:extLst>
            <c:ext xmlns:c16="http://schemas.microsoft.com/office/drawing/2014/chart" uri="{C3380CC4-5D6E-409C-BE32-E72D297353CC}">
              <c16:uniqueId val="{00000007-9B0E-4789-92E7-780CE951D50E}"/>
            </c:ext>
          </c:extLst>
        </c:ser>
        <c:ser>
          <c:idx val="8"/>
          <c:order val="8"/>
          <c:tx>
            <c:strRef>
              <c:f>'BIFUbC-natural-gas'!$A$10</c:f>
              <c:strCache>
                <c:ptCount val="1"/>
                <c:pt idx="0">
                  <c:v>refined petroleum and coke 19</c:v>
                </c:pt>
              </c:strCache>
            </c:strRef>
          </c:tx>
          <c:spPr>
            <a:ln w="28575" cap="rnd">
              <a:solidFill>
                <a:schemeClr val="accent3">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B0E-4789-92E7-780CE951D50E}"/>
            </c:ext>
          </c:extLst>
        </c:ser>
        <c:ser>
          <c:idx val="9"/>
          <c:order val="9"/>
          <c:tx>
            <c:strRef>
              <c:f>'BIFUbC-natural-gas'!$A$11</c:f>
              <c:strCache>
                <c:ptCount val="1"/>
                <c:pt idx="0">
                  <c:v>chemicals 20</c:v>
                </c:pt>
              </c:strCache>
            </c:strRef>
          </c:tx>
          <c:spPr>
            <a:ln w="28575" cap="rnd">
              <a:solidFill>
                <a:schemeClr val="accent4">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'BIFUbC-natural-gas'!$B$11:$AF$11</c:f>
              <c:numCache>
                <c:formatCode>0.00E+00</c:formatCode>
                <c:ptCount val="31"/>
                <c:pt idx="0">
                  <c:v>124665316002242.16</c:v>
                </c:pt>
                <c:pt idx="1">
                  <c:v>117485877871597.38</c:v>
                </c:pt>
                <c:pt idx="2">
                  <c:v>110306439740952.61</c:v>
                </c:pt>
                <c:pt idx="3">
                  <c:v>103127001610307.83</c:v>
                </c:pt>
                <c:pt idx="4">
                  <c:v>95947563479663.063</c:v>
                </c:pt>
                <c:pt idx="5">
                  <c:v>88768125349018.266</c:v>
                </c:pt>
                <c:pt idx="6">
                  <c:v>90738175128304.578</c:v>
                </c:pt>
                <c:pt idx="7">
                  <c:v>92708224907590.875</c:v>
                </c:pt>
                <c:pt idx="8">
                  <c:v>94678274686877.188</c:v>
                </c:pt>
                <c:pt idx="9">
                  <c:v>96648324466163.484</c:v>
                </c:pt>
                <c:pt idx="10">
                  <c:v>98618374245449.797</c:v>
                </c:pt>
                <c:pt idx="11">
                  <c:v>99537730809116.734</c:v>
                </c:pt>
                <c:pt idx="12">
                  <c:v>100457087372783.69</c:v>
                </c:pt>
                <c:pt idx="13">
                  <c:v>101376443936450.63</c:v>
                </c:pt>
                <c:pt idx="14">
                  <c:v>102295800500117.56</c:v>
                </c:pt>
                <c:pt idx="15">
                  <c:v>103215157063784.52</c:v>
                </c:pt>
                <c:pt idx="16">
                  <c:v>103493281738507.28</c:v>
                </c:pt>
                <c:pt idx="17">
                  <c:v>103771406413230.06</c:v>
                </c:pt>
                <c:pt idx="18">
                  <c:v>104049531087952.83</c:v>
                </c:pt>
                <c:pt idx="19">
                  <c:v>104327655762675.61</c:v>
                </c:pt>
                <c:pt idx="20">
                  <c:v>104605780437398.38</c:v>
                </c:pt>
                <c:pt idx="21">
                  <c:v>105738880964046.78</c:v>
                </c:pt>
                <c:pt idx="22">
                  <c:v>106289043409836.67</c:v>
                </c:pt>
                <c:pt idx="23">
                  <c:v>106839205855626.8</c:v>
                </c:pt>
                <c:pt idx="24">
                  <c:v>107389368301416.67</c:v>
                </c:pt>
                <c:pt idx="25">
                  <c:v>107939530747206.8</c:v>
                </c:pt>
                <c:pt idx="26">
                  <c:v>108489693192996.67</c:v>
                </c:pt>
                <c:pt idx="27">
                  <c:v>109039855638786.8</c:v>
                </c:pt>
                <c:pt idx="28">
                  <c:v>109590018084576.67</c:v>
                </c:pt>
                <c:pt idx="29">
                  <c:v>110140180530366.55</c:v>
                </c:pt>
                <c:pt idx="30">
                  <c:v>110690342976156.67</c:v>
                </c:pt>
              </c:numCache>
            </c:numRef>
          </c:val>
          <c:smooth val="0"/>
          <c:extLst>
            <c:ext xmlns:c16="http://schemas.microsoft.com/office/drawing/2014/chart" uri="{C3380CC4-5D6E-409C-BE32-E72D297353CC}">
              <c16:uniqueId val="{00000009-9B0E-4789-92E7-780CE951D50E}"/>
            </c:ext>
          </c:extLst>
        </c:ser>
        <c:ser>
          <c:idx val="10"/>
          <c:order val="10"/>
          <c:tx>
            <c:strRef>
              <c:f>'BIFUbC-natural-gas'!$A$12</c:f>
              <c:strCache>
                <c:ptCount val="1"/>
                <c:pt idx="0">
                  <c:v>rubber and plastic products 22</c:v>
                </c:pt>
              </c:strCache>
            </c:strRef>
          </c:tx>
          <c:spPr>
            <a:ln w="28575" cap="rnd">
              <a:solidFill>
                <a:schemeClr val="accent5">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'BIFUbC-natural-gas'!$B$12:$AF$12</c:f>
              <c:numCache>
                <c:formatCode>0.00E+00</c:formatCode>
                <c:ptCount val="31"/>
                <c:pt idx="0">
                  <c:v>131302191073559.84</c:v>
                </c:pt>
                <c:pt idx="1">
                  <c:v>123740537299596.22</c:v>
                </c:pt>
                <c:pt idx="2">
                  <c:v>116178883525632.61</c:v>
                </c:pt>
                <c:pt idx="3">
                  <c:v>108617229751668.98</c:v>
                </c:pt>
                <c:pt idx="4">
                  <c:v>101055575977705.38</c:v>
                </c:pt>
                <c:pt idx="5">
                  <c:v>93493922203741.734</c:v>
                </c:pt>
                <c:pt idx="6">
                  <c:v>95568852592075.422</c:v>
                </c:pt>
                <c:pt idx="7">
                  <c:v>97643782980409.125</c:v>
                </c:pt>
                <c:pt idx="8">
                  <c:v>99718713368742.813</c:v>
                </c:pt>
                <c:pt idx="9">
                  <c:v>101793643757076.52</c:v>
                </c:pt>
                <c:pt idx="10">
                  <c:v>103868574145410.2</c:v>
                </c:pt>
                <c:pt idx="11">
                  <c:v>104836874993299.27</c:v>
                </c:pt>
                <c:pt idx="12">
                  <c:v>105805175841188.31</c:v>
                </c:pt>
                <c:pt idx="13">
                  <c:v>106773476689077.38</c:v>
                </c:pt>
                <c:pt idx="14">
                  <c:v>107741777536966.44</c:v>
                </c:pt>
                <c:pt idx="15">
                  <c:v>108710078384855.48</c:v>
                </c:pt>
                <c:pt idx="16">
                  <c:v>109003009733796.72</c:v>
                </c:pt>
                <c:pt idx="17">
                  <c:v>109295941082737.94</c:v>
                </c:pt>
                <c:pt idx="18">
                  <c:v>109588872431679.17</c:v>
                </c:pt>
                <c:pt idx="19">
                  <c:v>109881803780620.39</c:v>
                </c:pt>
                <c:pt idx="20">
                  <c:v>110174735129561.63</c:v>
                </c:pt>
                <c:pt idx="21">
                  <c:v>111368159143766.72</c:v>
                </c:pt>
                <c:pt idx="22">
                  <c:v>111947610886200.83</c:v>
                </c:pt>
                <c:pt idx="23">
                  <c:v>112527062628635.2</c:v>
                </c:pt>
                <c:pt idx="24">
                  <c:v>113106514371069.33</c:v>
                </c:pt>
                <c:pt idx="25">
                  <c:v>113685966113503.7</c:v>
                </c:pt>
                <c:pt idx="26">
                  <c:v>114265417855937.83</c:v>
                </c:pt>
                <c:pt idx="27">
                  <c:v>114844869598372.2</c:v>
                </c:pt>
                <c:pt idx="28">
                  <c:v>115424321340806.33</c:v>
                </c:pt>
                <c:pt idx="29">
                  <c:v>116003773083240.45</c:v>
                </c:pt>
                <c:pt idx="30">
                  <c:v>116583224825674.83</c:v>
                </c:pt>
              </c:numCache>
            </c:numRef>
          </c:val>
          <c:smooth val="0"/>
          <c:extLst>
            <c:ext xmlns:c16="http://schemas.microsoft.com/office/drawing/2014/chart" uri="{C3380CC4-5D6E-409C-BE32-E72D297353CC}">
              <c16:uniqueId val="{0000000A-9B0E-4789-92E7-780CE951D50E}"/>
            </c:ext>
          </c:extLst>
        </c:ser>
        <c:ser>
          <c:idx val="11"/>
          <c:order val="11"/>
          <c:tx>
            <c:strRef>
              <c:f>'BIFUbC-natural-gas'!$A$13</c:f>
              <c:strCache>
                <c:ptCount val="1"/>
                <c:pt idx="0">
                  <c:v>glass and glass products 231</c:v>
                </c:pt>
              </c:strCache>
            </c:strRef>
          </c:tx>
          <c:spPr>
            <a:ln w="28575" cap="rnd">
              <a:solidFill>
                <a:schemeClr val="accent6">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'BIFUbC-natural-gas'!$B$13:$AF$13</c:f>
              <c:numCache>
                <c:formatCode>0.00E+00</c:formatCode>
                <c:ptCount val="31"/>
                <c:pt idx="0">
                  <c:v>14398662326831.67</c:v>
                </c:pt>
                <c:pt idx="1">
                  <c:v>13335851237366.369</c:v>
                </c:pt>
                <c:pt idx="2">
                  <c:v>12273040147901.068</c:v>
                </c:pt>
                <c:pt idx="3">
                  <c:v>11210229058435.766</c:v>
                </c:pt>
                <c:pt idx="4">
                  <c:v>10147417968970.465</c:v>
                </c:pt>
                <c:pt idx="5">
                  <c:v>9084606879505.1621</c:v>
                </c:pt>
                <c:pt idx="6">
                  <c:v>9238822093228.7754</c:v>
                </c:pt>
                <c:pt idx="7">
                  <c:v>9393037306952.3867</c:v>
                </c:pt>
                <c:pt idx="8">
                  <c:v>9547252520675.998</c:v>
                </c:pt>
                <c:pt idx="9">
                  <c:v>9701467734399.6113</c:v>
                </c:pt>
                <c:pt idx="10">
                  <c:v>9855682948123.2266</c:v>
                </c:pt>
                <c:pt idx="11">
                  <c:v>10016943526940.807</c:v>
                </c:pt>
                <c:pt idx="12">
                  <c:v>10178204105758.391</c:v>
                </c:pt>
                <c:pt idx="13">
                  <c:v>10339464684575.975</c:v>
                </c:pt>
                <c:pt idx="14">
                  <c:v>10500725263393.559</c:v>
                </c:pt>
                <c:pt idx="15">
                  <c:v>10661985842211.145</c:v>
                </c:pt>
                <c:pt idx="16">
                  <c:v>10845165334654.418</c:v>
                </c:pt>
                <c:pt idx="17">
                  <c:v>11028344827097.693</c:v>
                </c:pt>
                <c:pt idx="18">
                  <c:v>11211524319540.969</c:v>
                </c:pt>
                <c:pt idx="19">
                  <c:v>11394703811984.244</c:v>
                </c:pt>
                <c:pt idx="20">
                  <c:v>11577883304427.514</c:v>
                </c:pt>
                <c:pt idx="21">
                  <c:v>11731837578703.189</c:v>
                </c:pt>
                <c:pt idx="22">
                  <c:v>11905718138093.121</c:v>
                </c:pt>
                <c:pt idx="23">
                  <c:v>12079598697483.1</c:v>
                </c:pt>
                <c:pt idx="24">
                  <c:v>12253479256873.031</c:v>
                </c:pt>
                <c:pt idx="25">
                  <c:v>12427359816263.012</c:v>
                </c:pt>
                <c:pt idx="26">
                  <c:v>12601240375652.941</c:v>
                </c:pt>
                <c:pt idx="27">
                  <c:v>12775120935042.922</c:v>
                </c:pt>
                <c:pt idx="28">
                  <c:v>12949001494432.854</c:v>
                </c:pt>
                <c:pt idx="29">
                  <c:v>13122882053822.783</c:v>
                </c:pt>
                <c:pt idx="30">
                  <c:v>13296762613212.764</c:v>
                </c:pt>
              </c:numCache>
            </c:numRef>
          </c:val>
          <c:smooth val="0"/>
          <c:extLst>
            <c:ext xmlns:c16="http://schemas.microsoft.com/office/drawing/2014/chart" uri="{C3380CC4-5D6E-409C-BE32-E72D297353CC}">
              <c16:uniqueId val="{0000000B-9B0E-4789-92E7-780CE951D50E}"/>
            </c:ext>
          </c:extLst>
        </c:ser>
        <c:ser>
          <c:idx val="12"/>
          <c:order val="12"/>
          <c:tx>
            <c:strRef>
              <c:f>'BIFUbC-natural-gas'!$A$14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'BIFUbC-natural-gas'!$B$14:$AF$14</c:f>
              <c:numCache>
                <c:formatCode>0.00E+00</c:formatCode>
                <c:ptCount val="31"/>
                <c:pt idx="0">
                  <c:v>22366966790652.66</c:v>
                </c:pt>
                <c:pt idx="1">
                  <c:v>20715989789927.445</c:v>
                </c:pt>
                <c:pt idx="2">
                  <c:v>19065012789202.223</c:v>
                </c:pt>
                <c:pt idx="3">
                  <c:v>17414035788477.002</c:v>
                </c:pt>
                <c:pt idx="4">
                  <c:v>15763058787751.781</c:v>
                </c:pt>
                <c:pt idx="5">
                  <c:v>14112081787026.559</c:v>
                </c:pt>
                <c:pt idx="6">
                  <c:v>14351640607538.773</c:v>
                </c:pt>
                <c:pt idx="7">
                  <c:v>14591199428050.986</c:v>
                </c:pt>
                <c:pt idx="8">
                  <c:v>14830758248563.199</c:v>
                </c:pt>
                <c:pt idx="9">
                  <c:v>15070317069075.412</c:v>
                </c:pt>
                <c:pt idx="10">
                  <c:v>15309875889587.631</c:v>
                </c:pt>
                <c:pt idx="11">
                  <c:v>15560379021696.844</c:v>
                </c:pt>
                <c:pt idx="12">
                  <c:v>15810882153806.061</c:v>
                </c:pt>
                <c:pt idx="13">
                  <c:v>16061385285915.279</c:v>
                </c:pt>
                <c:pt idx="14">
                  <c:v>16311888418024.496</c:v>
                </c:pt>
                <c:pt idx="15">
                  <c:v>16562391550133.717</c:v>
                </c:pt>
                <c:pt idx="16">
                  <c:v>16846943651655.836</c:v>
                </c:pt>
                <c:pt idx="17">
                  <c:v>17131495753177.957</c:v>
                </c:pt>
                <c:pt idx="18">
                  <c:v>17416047854700.078</c:v>
                </c:pt>
                <c:pt idx="19">
                  <c:v>17700599956222.199</c:v>
                </c:pt>
                <c:pt idx="20">
                  <c:v>17985152057744.309</c:v>
                </c:pt>
                <c:pt idx="21">
                  <c:v>18224305533382.543</c:v>
                </c:pt>
                <c:pt idx="22">
                  <c:v>18494412617577.945</c:v>
                </c:pt>
                <c:pt idx="23">
                  <c:v>18764519701773.426</c:v>
                </c:pt>
                <c:pt idx="24">
                  <c:v>19034626785968.828</c:v>
                </c:pt>
                <c:pt idx="25">
                  <c:v>19304733870164.305</c:v>
                </c:pt>
                <c:pt idx="26">
                  <c:v>19574840954359.707</c:v>
                </c:pt>
                <c:pt idx="27">
                  <c:v>19844948038555.188</c:v>
                </c:pt>
                <c:pt idx="28">
                  <c:v>20115055122750.59</c:v>
                </c:pt>
                <c:pt idx="29">
                  <c:v>20385162206945.992</c:v>
                </c:pt>
                <c:pt idx="30">
                  <c:v>20655269291141.473</c:v>
                </c:pt>
              </c:numCache>
            </c:numRef>
          </c:val>
          <c:smooth val="0"/>
          <c:extLst>
            <c:ext xmlns:c16="http://schemas.microsoft.com/office/drawing/2014/chart" uri="{C3380CC4-5D6E-409C-BE32-E72D297353CC}">
              <c16:uniqueId val="{0000000C-9B0E-4789-92E7-780CE951D50E}"/>
            </c:ext>
          </c:extLst>
        </c:ser>
        <c:ser>
          <c:idx val="13"/>
          <c:order val="13"/>
          <c:tx>
            <c:strRef>
              <c:f>'BIFUbC-natural-gas'!$A$15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'BIFUbC-natural-gas'!$B$15:$AF$15</c:f>
              <c:numCache>
                <c:formatCode>General</c:formatCode>
                <c:ptCount val="31"/>
                <c:pt idx="0" formatCode="0.E+00">
                  <c:v>115985416512739.73</c:v>
                </c:pt>
                <c:pt idx="1">
                  <c:v>106953695130523.78</c:v>
                </c:pt>
                <c:pt idx="2">
                  <c:v>97921973748307.844</c:v>
                </c:pt>
                <c:pt idx="3">
                  <c:v>88890252366091.891</c:v>
                </c:pt>
                <c:pt idx="4">
                  <c:v>79858530983875.938</c:v>
                </c:pt>
                <c:pt idx="5">
                  <c:v>70826809601660</c:v>
                </c:pt>
                <c:pt idx="6">
                  <c:v>71366140290676</c:v>
                </c:pt>
                <c:pt idx="7">
                  <c:v>71905470979692</c:v>
                </c:pt>
                <c:pt idx="8">
                  <c:v>72444801668708</c:v>
                </c:pt>
                <c:pt idx="9">
                  <c:v>72984132357724</c:v>
                </c:pt>
                <c:pt idx="10">
                  <c:v>73523463046740</c:v>
                </c:pt>
                <c:pt idx="11">
                  <c:v>74150038406038</c:v>
                </c:pt>
                <c:pt idx="12">
                  <c:v>74776613765336</c:v>
                </c:pt>
                <c:pt idx="13">
                  <c:v>75403189124634</c:v>
                </c:pt>
                <c:pt idx="14">
                  <c:v>76029764483932</c:v>
                </c:pt>
                <c:pt idx="15">
                  <c:v>76656339843230</c:v>
                </c:pt>
                <c:pt idx="16">
                  <c:v>77171876531260</c:v>
                </c:pt>
                <c:pt idx="17">
                  <c:v>77687413219290</c:v>
                </c:pt>
                <c:pt idx="18">
                  <c:v>78202949907320</c:v>
                </c:pt>
                <c:pt idx="19">
                  <c:v>78718486595350</c:v>
                </c:pt>
                <c:pt idx="20">
                  <c:v>79234023283380</c:v>
                </c:pt>
                <c:pt idx="21">
                  <c:v>79897611533100.75</c:v>
                </c:pt>
                <c:pt idx="22">
                  <c:v>80460255536214.25</c:v>
                </c:pt>
                <c:pt idx="23">
                  <c:v>81022899539327.5</c:v>
                </c:pt>
                <c:pt idx="24">
                  <c:v>81585543542441</c:v>
                </c:pt>
                <c:pt idx="25">
                  <c:v>82148187545554.25</c:v>
                </c:pt>
                <c:pt idx="26">
                  <c:v>82710831548667.75</c:v>
                </c:pt>
                <c:pt idx="27">
                  <c:v>83273475551781</c:v>
                </c:pt>
                <c:pt idx="28">
                  <c:v>83836119554894.5</c:v>
                </c:pt>
                <c:pt idx="29">
                  <c:v>84398763558008</c:v>
                </c:pt>
                <c:pt idx="30">
                  <c:v>84961407561121.25</c:v>
                </c:pt>
              </c:numCache>
            </c:numRef>
          </c:val>
          <c:smooth val="0"/>
          <c:extLst>
            <c:ext xmlns:c16="http://schemas.microsoft.com/office/drawing/2014/chart" uri="{C3380CC4-5D6E-409C-BE32-E72D297353CC}">
              <c16:uniqueId val="{0000000D-9B0E-4789-92E7-780CE951D50E}"/>
            </c:ext>
          </c:extLst>
        </c:ser>
        <c:ser>
          <c:idx val="14"/>
          <c:order val="14"/>
          <c:tx>
            <c:strRef>
              <c:f>'BIFUbC-natural-gas'!$A$16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'BIFUbC-natural-gas'!$B$16:$AF$16</c:f>
              <c:numCache>
                <c:formatCode>0.00E+00</c:formatCode>
                <c:ptCount val="31"/>
                <c:pt idx="0">
                  <c:v>15687627942365.611</c:v>
                </c:pt>
                <c:pt idx="1">
                  <c:v>14604974088948.871</c:v>
                </c:pt>
                <c:pt idx="2">
                  <c:v>13522320235532.133</c:v>
                </c:pt>
                <c:pt idx="3">
                  <c:v>12439666382115.393</c:v>
                </c:pt>
                <c:pt idx="4">
                  <c:v>11357012528698.654</c:v>
                </c:pt>
                <c:pt idx="5">
                  <c:v>10274358675281.916</c:v>
                </c:pt>
                <c:pt idx="6">
                  <c:v>10378238447038.32</c:v>
                </c:pt>
                <c:pt idx="7">
                  <c:v>10482118218794.725</c:v>
                </c:pt>
                <c:pt idx="8">
                  <c:v>10585997990551.131</c:v>
                </c:pt>
                <c:pt idx="9">
                  <c:v>10689877762307.535</c:v>
                </c:pt>
                <c:pt idx="10">
                  <c:v>10793757534063.939</c:v>
                </c:pt>
                <c:pt idx="11">
                  <c:v>10852189905676.918</c:v>
                </c:pt>
                <c:pt idx="12">
                  <c:v>10910622277289.895</c:v>
                </c:pt>
                <c:pt idx="13">
                  <c:v>10969054648902.873</c:v>
                </c:pt>
                <c:pt idx="14">
                  <c:v>11027487020515.852</c:v>
                </c:pt>
                <c:pt idx="15">
                  <c:v>11085919392128.83</c:v>
                </c:pt>
                <c:pt idx="16">
                  <c:v>11111889335067.93</c:v>
                </c:pt>
                <c:pt idx="17">
                  <c:v>11137859278007.031</c:v>
                </c:pt>
                <c:pt idx="18">
                  <c:v>11163829220946.133</c:v>
                </c:pt>
                <c:pt idx="19">
                  <c:v>11189799163885.234</c:v>
                </c:pt>
                <c:pt idx="20">
                  <c:v>11215769106824.334</c:v>
                </c:pt>
                <c:pt idx="21">
                  <c:v>11285022287995.275</c:v>
                </c:pt>
                <c:pt idx="22">
                  <c:v>11324764170371.785</c:v>
                </c:pt>
                <c:pt idx="23">
                  <c:v>11364506052748.279</c:v>
                </c:pt>
                <c:pt idx="24">
                  <c:v>11404247935124.789</c:v>
                </c:pt>
                <c:pt idx="25">
                  <c:v>11443989817501.285</c:v>
                </c:pt>
                <c:pt idx="26">
                  <c:v>11483731699877.793</c:v>
                </c:pt>
                <c:pt idx="27">
                  <c:v>11523473582254.289</c:v>
                </c:pt>
                <c:pt idx="28">
                  <c:v>11563215464630.799</c:v>
                </c:pt>
                <c:pt idx="29">
                  <c:v>11602957347007.307</c:v>
                </c:pt>
                <c:pt idx="30">
                  <c:v>11642699229383.803</c:v>
                </c:pt>
              </c:numCache>
            </c:numRef>
          </c:val>
          <c:smooth val="0"/>
          <c:extLst>
            <c:ext xmlns:c16="http://schemas.microsoft.com/office/drawing/2014/chart" uri="{C3380CC4-5D6E-409C-BE32-E72D297353CC}">
              <c16:uniqueId val="{0000000E-9B0E-4789-92E7-780CE951D50E}"/>
            </c:ext>
          </c:extLst>
        </c:ser>
        <c:ser>
          <c:idx val="15"/>
          <c:order val="15"/>
          <c:tx>
            <c:strRef>
              <c:f>'BIFUbC-natural-gas'!$A$17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'BIFUbC-natural-gas'!$B$17:$AF$17</c:f>
              <c:numCache>
                <c:formatCode>0.00E+00</c:formatCode>
                <c:ptCount val="31"/>
                <c:pt idx="0">
                  <c:v>22640931151656.746</c:v>
                </c:pt>
                <c:pt idx="1">
                  <c:v>21078407394315.012</c:v>
                </c:pt>
                <c:pt idx="2">
                  <c:v>19515883636973.281</c:v>
                </c:pt>
                <c:pt idx="3">
                  <c:v>17953359879631.547</c:v>
                </c:pt>
                <c:pt idx="4">
                  <c:v>16390836122289.814</c:v>
                </c:pt>
                <c:pt idx="5">
                  <c:v>14828312364948.084</c:v>
                </c:pt>
                <c:pt idx="6">
                  <c:v>14978235270375.68</c:v>
                </c:pt>
                <c:pt idx="7">
                  <c:v>15128158175803.275</c:v>
                </c:pt>
                <c:pt idx="8">
                  <c:v>15278081081230.869</c:v>
                </c:pt>
                <c:pt idx="9">
                  <c:v>15428003986658.465</c:v>
                </c:pt>
                <c:pt idx="10">
                  <c:v>15577926892086.061</c:v>
                </c:pt>
                <c:pt idx="11">
                  <c:v>15662258526389.082</c:v>
                </c:pt>
                <c:pt idx="12">
                  <c:v>15746590160692.105</c:v>
                </c:pt>
                <c:pt idx="13">
                  <c:v>15830921794995.127</c:v>
                </c:pt>
                <c:pt idx="14">
                  <c:v>15915253429298.148</c:v>
                </c:pt>
                <c:pt idx="15">
                  <c:v>15999585063601.174</c:v>
                </c:pt>
                <c:pt idx="16">
                  <c:v>16037065789958.07</c:v>
                </c:pt>
                <c:pt idx="17">
                  <c:v>16074546516314.969</c:v>
                </c:pt>
                <c:pt idx="18">
                  <c:v>16112027242671.867</c:v>
                </c:pt>
                <c:pt idx="19">
                  <c:v>16149507969028.766</c:v>
                </c:pt>
                <c:pt idx="20">
                  <c:v>16186988695385.662</c:v>
                </c:pt>
                <c:pt idx="21">
                  <c:v>16286937299004.068</c:v>
                </c:pt>
                <c:pt idx="22">
                  <c:v>16344294168125.996</c:v>
                </c:pt>
                <c:pt idx="23">
                  <c:v>16401651037247.908</c:v>
                </c:pt>
                <c:pt idx="24">
                  <c:v>16459007906369.836</c:v>
                </c:pt>
                <c:pt idx="25">
                  <c:v>16516364775491.746</c:v>
                </c:pt>
                <c:pt idx="26">
                  <c:v>16573721644613.676</c:v>
                </c:pt>
                <c:pt idx="27">
                  <c:v>16631078513735.586</c:v>
                </c:pt>
                <c:pt idx="28">
                  <c:v>16688435382857.514</c:v>
                </c:pt>
                <c:pt idx="29">
                  <c:v>16745792251979.443</c:v>
                </c:pt>
                <c:pt idx="30">
                  <c:v>16803149121101.354</c:v>
                </c:pt>
              </c:numCache>
            </c:numRef>
          </c:val>
          <c:smooth val="0"/>
          <c:extLst>
            <c:ext xmlns:c16="http://schemas.microsoft.com/office/drawing/2014/chart" uri="{C3380CC4-5D6E-409C-BE32-E72D297353CC}">
              <c16:uniqueId val="{0000000F-9B0E-4789-92E7-780CE951D50E}"/>
            </c:ext>
          </c:extLst>
        </c:ser>
        <c:ser>
          <c:idx val="16"/>
          <c:order val="16"/>
          <c:tx>
            <c:strRef>
              <c:f>'BIFUbC-natural-gas'!$A$18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'BIFUbC-natural-gas'!$B$18:$AF$18</c:f>
              <c:numCache>
                <c:formatCode>0.00E+00</c:formatCode>
                <c:ptCount val="31"/>
                <c:pt idx="0">
                  <c:v>70791534040719.109</c:v>
                </c:pt>
                <c:pt idx="1">
                  <c:v>65221556746782.125</c:v>
                </c:pt>
                <c:pt idx="2">
                  <c:v>59651579452845.148</c:v>
                </c:pt>
                <c:pt idx="3">
                  <c:v>54081602158908.164</c:v>
                </c:pt>
                <c:pt idx="4">
                  <c:v>48511624864971.18</c:v>
                </c:pt>
                <c:pt idx="5">
                  <c:v>42941647571034.188</c:v>
                </c:pt>
                <c:pt idx="6">
                  <c:v>43825740315143.719</c:v>
                </c:pt>
                <c:pt idx="7">
                  <c:v>44709833059253.25</c:v>
                </c:pt>
                <c:pt idx="8">
                  <c:v>45593925803362.773</c:v>
                </c:pt>
                <c:pt idx="9">
                  <c:v>46478018547472.305</c:v>
                </c:pt>
                <c:pt idx="10">
                  <c:v>47362111291581.828</c:v>
                </c:pt>
                <c:pt idx="11">
                  <c:v>48172869153691.484</c:v>
                </c:pt>
                <c:pt idx="12">
                  <c:v>48983627015801.148</c:v>
                </c:pt>
                <c:pt idx="13">
                  <c:v>49794384877910.805</c:v>
                </c:pt>
                <c:pt idx="14">
                  <c:v>50605142740020.461</c:v>
                </c:pt>
                <c:pt idx="15">
                  <c:v>51415900602130.125</c:v>
                </c:pt>
                <c:pt idx="16">
                  <c:v>52267400065350.82</c:v>
                </c:pt>
                <c:pt idx="17">
                  <c:v>53118899528571.516</c:v>
                </c:pt>
                <c:pt idx="18">
                  <c:v>53970398991792.211</c:v>
                </c:pt>
                <c:pt idx="19">
                  <c:v>54821898455012.914</c:v>
                </c:pt>
                <c:pt idx="20">
                  <c:v>55673397918233.609</c:v>
                </c:pt>
                <c:pt idx="21">
                  <c:v>56470575246639.5</c:v>
                </c:pt>
                <c:pt idx="22">
                  <c:v>57304790394237.297</c:v>
                </c:pt>
                <c:pt idx="23">
                  <c:v>58139005541835.086</c:v>
                </c:pt>
                <c:pt idx="24">
                  <c:v>58973220689432.883</c:v>
                </c:pt>
                <c:pt idx="25">
                  <c:v>59807435837030.93</c:v>
                </c:pt>
                <c:pt idx="26">
                  <c:v>60641650984628.727</c:v>
                </c:pt>
                <c:pt idx="27">
                  <c:v>61475866132226.516</c:v>
                </c:pt>
                <c:pt idx="28">
                  <c:v>62310081279824.313</c:v>
                </c:pt>
                <c:pt idx="29">
                  <c:v>63144296427422.102</c:v>
                </c:pt>
                <c:pt idx="30">
                  <c:v>63978511575019.898</c:v>
                </c:pt>
              </c:numCache>
            </c:numRef>
          </c:val>
          <c:smooth val="0"/>
          <c:extLst>
            <c:ext xmlns:c16="http://schemas.microsoft.com/office/drawing/2014/chart" uri="{C3380CC4-5D6E-409C-BE32-E72D297353CC}">
              <c16:uniqueId val="{00000010-9B0E-4789-92E7-780CE951D50E}"/>
            </c:ext>
          </c:extLst>
        </c:ser>
        <c:ser>
          <c:idx val="17"/>
          <c:order val="17"/>
          <c:tx>
            <c:strRef>
              <c:f>'BIFUbC-natural-gas'!$A$19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'BIFUbC-natural-gas'!$B$19:$AF$19</c:f>
              <c:numCache>
                <c:formatCode>0.00E+00</c:formatCode>
                <c:ptCount val="31"/>
                <c:pt idx="0">
                  <c:v>10415933592828.84</c:v>
                </c:pt>
                <c:pt idx="1">
                  <c:v>9596393313141.707</c:v>
                </c:pt>
                <c:pt idx="2">
                  <c:v>8776853033454.5762</c:v>
                </c:pt>
                <c:pt idx="3">
                  <c:v>7957312753767.4434</c:v>
                </c:pt>
                <c:pt idx="4">
                  <c:v>7137772474080.3115</c:v>
                </c:pt>
                <c:pt idx="5">
                  <c:v>6318232194393.1777</c:v>
                </c:pt>
                <c:pt idx="6">
                  <c:v>6448313445454.2139</c:v>
                </c:pt>
                <c:pt idx="7">
                  <c:v>6578394696515.249</c:v>
                </c:pt>
                <c:pt idx="8">
                  <c:v>6708475947576.2852</c:v>
                </c:pt>
                <c:pt idx="9">
                  <c:v>6838557198637.3213</c:v>
                </c:pt>
                <c:pt idx="10">
                  <c:v>6968638449698.3574</c:v>
                </c:pt>
                <c:pt idx="11">
                  <c:v>7087929550901.7959</c:v>
                </c:pt>
                <c:pt idx="12">
                  <c:v>7207220652105.2344</c:v>
                </c:pt>
                <c:pt idx="13">
                  <c:v>7326511753308.6729</c:v>
                </c:pt>
                <c:pt idx="14">
                  <c:v>7445802854512.1113</c:v>
                </c:pt>
                <c:pt idx="15">
                  <c:v>7565093955715.5498</c:v>
                </c:pt>
                <c:pt idx="16">
                  <c:v>7690379584617.6543</c:v>
                </c:pt>
                <c:pt idx="17">
                  <c:v>7815665213519.7578</c:v>
                </c:pt>
                <c:pt idx="18">
                  <c:v>7940950842421.8613</c:v>
                </c:pt>
                <c:pt idx="19">
                  <c:v>8066236471323.9658</c:v>
                </c:pt>
                <c:pt idx="20">
                  <c:v>8191522100226.0693</c:v>
                </c:pt>
                <c:pt idx="21">
                  <c:v>8308815025529.9404</c:v>
                </c:pt>
                <c:pt idx="22">
                  <c:v>8431557521468.9678</c:v>
                </c:pt>
                <c:pt idx="23">
                  <c:v>8554300017407.9961</c:v>
                </c:pt>
                <c:pt idx="24">
                  <c:v>8677042513347.0244</c:v>
                </c:pt>
                <c:pt idx="25">
                  <c:v>8799785009286.0898</c:v>
                </c:pt>
                <c:pt idx="26">
                  <c:v>8922527505225.1172</c:v>
                </c:pt>
                <c:pt idx="27">
                  <c:v>9045270001164.1465</c:v>
                </c:pt>
                <c:pt idx="28">
                  <c:v>9168012497103.1738</c:v>
                </c:pt>
                <c:pt idx="29">
                  <c:v>9290754993042.2012</c:v>
                </c:pt>
                <c:pt idx="30">
                  <c:v>9413497488981.2305</c:v>
                </c:pt>
              </c:numCache>
            </c:numRef>
          </c:val>
          <c:smooth val="0"/>
          <c:extLst>
            <c:ext xmlns:c16="http://schemas.microsoft.com/office/drawing/2014/chart" uri="{C3380CC4-5D6E-409C-BE32-E72D297353CC}">
              <c16:uniqueId val="{00000011-9B0E-4789-92E7-780CE951D50E}"/>
            </c:ext>
          </c:extLst>
        </c:ser>
        <c:ser>
          <c:idx val="18"/>
          <c:order val="18"/>
          <c:tx>
            <c:strRef>
              <c:f>'BIFUbC-natural-gas'!$A$20</c:f>
              <c:strCache>
                <c:ptCount val="1"/>
                <c:pt idx="0">
                  <c:v>other machinery 28</c:v>
                </c:pt>
              </c:strCache>
            </c:strRef>
          </c:tx>
          <c:spPr>
            <a:ln w="28575" cap="rnd">
              <a:solidFill>
                <a:schemeClr val="accent1">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'BIFUbC-natural-gas'!$B$20:$AF$20</c:f>
              <c:numCache>
                <c:formatCode>0.00E+00</c:formatCode>
                <c:ptCount val="31"/>
                <c:pt idx="0">
                  <c:v>8276890557616.5781</c:v>
                </c:pt>
                <c:pt idx="1">
                  <c:v>7625653187286.2793</c:v>
                </c:pt>
                <c:pt idx="2">
                  <c:v>6974415816955.9814</c:v>
                </c:pt>
                <c:pt idx="3">
                  <c:v>6323178446625.6816</c:v>
                </c:pt>
                <c:pt idx="4">
                  <c:v>5671941076295.3828</c:v>
                </c:pt>
                <c:pt idx="5">
                  <c:v>5020703705965.083</c:v>
                </c:pt>
                <c:pt idx="6">
                  <c:v>5124071135205.541</c:v>
                </c:pt>
                <c:pt idx="7">
                  <c:v>5227438564445.998</c:v>
                </c:pt>
                <c:pt idx="8">
                  <c:v>5330805993686.4561</c:v>
                </c:pt>
                <c:pt idx="9">
                  <c:v>5434173422926.9131</c:v>
                </c:pt>
                <c:pt idx="10">
                  <c:v>5537540852167.3711</c:v>
                </c:pt>
                <c:pt idx="11">
                  <c:v>5632334024604.4727</c:v>
                </c:pt>
                <c:pt idx="12">
                  <c:v>5727127197041.5742</c:v>
                </c:pt>
                <c:pt idx="13">
                  <c:v>5821920369478.6758</c:v>
                </c:pt>
                <c:pt idx="14">
                  <c:v>5916713541915.7773</c:v>
                </c:pt>
                <c:pt idx="15">
                  <c:v>6011506714352.8799</c:v>
                </c:pt>
                <c:pt idx="16">
                  <c:v>6111063362791.8457</c:v>
                </c:pt>
                <c:pt idx="17">
                  <c:v>6210620011230.8115</c:v>
                </c:pt>
                <c:pt idx="18">
                  <c:v>6310176659669.7773</c:v>
                </c:pt>
                <c:pt idx="19">
                  <c:v>6409733308108.7441</c:v>
                </c:pt>
                <c:pt idx="20">
                  <c:v>6509289956547.71</c:v>
                </c:pt>
                <c:pt idx="21">
                  <c:v>6602495303650.8467</c:v>
                </c:pt>
                <c:pt idx="22">
                  <c:v>6700031083482.957</c:v>
                </c:pt>
                <c:pt idx="23">
                  <c:v>6797566863315.0664</c:v>
                </c:pt>
                <c:pt idx="24">
                  <c:v>6895102643147.1768</c:v>
                </c:pt>
                <c:pt idx="25">
                  <c:v>6992638422979.3164</c:v>
                </c:pt>
                <c:pt idx="26">
                  <c:v>7090174202811.4268</c:v>
                </c:pt>
                <c:pt idx="27">
                  <c:v>7187709982643.5361</c:v>
                </c:pt>
                <c:pt idx="28">
                  <c:v>7285245762475.6465</c:v>
                </c:pt>
                <c:pt idx="29">
                  <c:v>7382781542307.7559</c:v>
                </c:pt>
                <c:pt idx="30">
                  <c:v>7480317322139.8662</c:v>
                </c:pt>
              </c:numCache>
            </c:numRef>
          </c:val>
          <c:smooth val="0"/>
          <c:extLst>
            <c:ext xmlns:c16="http://schemas.microsoft.com/office/drawing/2014/chart" uri="{C3380CC4-5D6E-409C-BE32-E72D297353CC}">
              <c16:uniqueId val="{00000012-9B0E-4789-92E7-780CE951D50E}"/>
            </c:ext>
          </c:extLst>
        </c:ser>
        <c:ser>
          <c:idx val="19"/>
          <c:order val="19"/>
          <c:tx>
            <c:strRef>
              <c:f>'BIFUbC-natural-gas'!$A$21</c:f>
              <c:strCache>
                <c:ptCount val="1"/>
                <c:pt idx="0">
                  <c:v>road vehicles 29</c:v>
                </c:pt>
              </c:strCache>
            </c:strRef>
          </c:tx>
          <c:spPr>
            <a:ln w="28575" cap="rnd">
              <a:solidFill>
                <a:schemeClr val="accent2">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'BIFUbC-natural-gas'!$B$21:$AF$21</c:f>
              <c:numCache>
                <c:formatCode>0.00E+00</c:formatCode>
                <c:ptCount val="31"/>
                <c:pt idx="0">
                  <c:v>43485411971036.188</c:v>
                </c:pt>
                <c:pt idx="1">
                  <c:v>40063918700995.633</c:v>
                </c:pt>
                <c:pt idx="2">
                  <c:v>36642425430955.086</c:v>
                </c:pt>
                <c:pt idx="3">
                  <c:v>33220932160914.535</c:v>
                </c:pt>
                <c:pt idx="4">
                  <c:v>29799438890873.984</c:v>
                </c:pt>
                <c:pt idx="5">
                  <c:v>26377945620833.43</c:v>
                </c:pt>
                <c:pt idx="6">
                  <c:v>26921020971850.586</c:v>
                </c:pt>
                <c:pt idx="7">
                  <c:v>27464096322867.746</c:v>
                </c:pt>
                <c:pt idx="8">
                  <c:v>28007171673884.906</c:v>
                </c:pt>
                <c:pt idx="9">
                  <c:v>28550247024902.063</c:v>
                </c:pt>
                <c:pt idx="10">
                  <c:v>29093322375919.223</c:v>
                </c:pt>
                <c:pt idx="11">
                  <c:v>29591350001967.215</c:v>
                </c:pt>
                <c:pt idx="12">
                  <c:v>30089377628015.211</c:v>
                </c:pt>
                <c:pt idx="13">
                  <c:v>30587405254063.203</c:v>
                </c:pt>
                <c:pt idx="14">
                  <c:v>31085432880111.195</c:v>
                </c:pt>
                <c:pt idx="15">
                  <c:v>31583460506159.191</c:v>
                </c:pt>
                <c:pt idx="16">
                  <c:v>32106514646078.941</c:v>
                </c:pt>
                <c:pt idx="17">
                  <c:v>32629568785998.695</c:v>
                </c:pt>
                <c:pt idx="18">
                  <c:v>33152622925918.445</c:v>
                </c:pt>
                <c:pt idx="19">
                  <c:v>33675677065838.199</c:v>
                </c:pt>
                <c:pt idx="20">
                  <c:v>34198731205757.949</c:v>
                </c:pt>
                <c:pt idx="21">
                  <c:v>34688416660515.305</c:v>
                </c:pt>
                <c:pt idx="22">
                  <c:v>35200853491519.742</c:v>
                </c:pt>
                <c:pt idx="23">
                  <c:v>35713290322524.18</c:v>
                </c:pt>
                <c:pt idx="24">
                  <c:v>36225727153528.617</c:v>
                </c:pt>
                <c:pt idx="25">
                  <c:v>36738163984533.211</c:v>
                </c:pt>
                <c:pt idx="26">
                  <c:v>37250600815537.648</c:v>
                </c:pt>
                <c:pt idx="27">
                  <c:v>37763037646542.086</c:v>
                </c:pt>
                <c:pt idx="28">
                  <c:v>38275474477546.523</c:v>
                </c:pt>
                <c:pt idx="29">
                  <c:v>38787911308550.953</c:v>
                </c:pt>
                <c:pt idx="30">
                  <c:v>39300348139555.391</c:v>
                </c:pt>
              </c:numCache>
            </c:numRef>
          </c:val>
          <c:smooth val="0"/>
          <c:extLst>
            <c:ext xmlns:c16="http://schemas.microsoft.com/office/drawing/2014/chart" uri="{C3380CC4-5D6E-409C-BE32-E72D297353CC}">
              <c16:uniqueId val="{00000013-9B0E-4789-92E7-780CE951D50E}"/>
            </c:ext>
          </c:extLst>
        </c:ser>
        <c:ser>
          <c:idx val="20"/>
          <c:order val="20"/>
          <c:tx>
            <c:strRef>
              <c:f>'BIFUbC-natural-gas'!$A$22</c:f>
              <c:strCache>
                <c:ptCount val="1"/>
                <c:pt idx="0">
                  <c:v>nonroad vehicles 30</c:v>
                </c:pt>
              </c:strCache>
            </c:strRef>
          </c:tx>
          <c:spPr>
            <a:ln w="28575" cap="rnd">
              <a:solidFill>
                <a:schemeClr val="accent3">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'BIFUbC-natural-gas'!$B$22:$AF$22</c:f>
              <c:numCache>
                <c:formatCode>0.00E+00</c:formatCode>
                <c:ptCount val="31"/>
                <c:pt idx="0">
                  <c:v>4842996545599.2725</c:v>
                </c:pt>
                <c:pt idx="1">
                  <c:v>4461942777530.2402</c:v>
                </c:pt>
                <c:pt idx="2">
                  <c:v>4080889009461.2085</c:v>
                </c:pt>
                <c:pt idx="3">
                  <c:v>3699835241392.1758</c:v>
                </c:pt>
                <c:pt idx="4">
                  <c:v>3318781473323.1436</c:v>
                </c:pt>
                <c:pt idx="5">
                  <c:v>2937727705254.1104</c:v>
                </c:pt>
                <c:pt idx="6">
                  <c:v>2998210334479.9307</c:v>
                </c:pt>
                <c:pt idx="7">
                  <c:v>3058692963705.7505</c:v>
                </c:pt>
                <c:pt idx="8">
                  <c:v>3119175592931.5703</c:v>
                </c:pt>
                <c:pt idx="9">
                  <c:v>3179658222157.3901</c:v>
                </c:pt>
                <c:pt idx="10">
                  <c:v>3240140851383.21</c:v>
                </c:pt>
                <c:pt idx="11">
                  <c:v>3295606488323.0176</c:v>
                </c:pt>
                <c:pt idx="12">
                  <c:v>3351072125262.8247</c:v>
                </c:pt>
                <c:pt idx="13">
                  <c:v>3406537762202.6318</c:v>
                </c:pt>
                <c:pt idx="14">
                  <c:v>3462003399142.439</c:v>
                </c:pt>
                <c:pt idx="15">
                  <c:v>3517469036082.2461</c:v>
                </c:pt>
                <c:pt idx="16">
                  <c:v>3575721890958.7271</c:v>
                </c:pt>
                <c:pt idx="17">
                  <c:v>3633974745835.208</c:v>
                </c:pt>
                <c:pt idx="18">
                  <c:v>3692227600711.689</c:v>
                </c:pt>
                <c:pt idx="19">
                  <c:v>3750480455588.1699</c:v>
                </c:pt>
                <c:pt idx="20">
                  <c:v>3808733310464.6509</c:v>
                </c:pt>
                <c:pt idx="21">
                  <c:v>3863269874758.8945</c:v>
                </c:pt>
                <c:pt idx="22">
                  <c:v>3920340273541.0264</c:v>
                </c:pt>
                <c:pt idx="23">
                  <c:v>3977410672323.1582</c:v>
                </c:pt>
                <c:pt idx="24">
                  <c:v>4034481071105.29</c:v>
                </c:pt>
                <c:pt idx="25">
                  <c:v>4091551469887.4395</c:v>
                </c:pt>
                <c:pt idx="26">
                  <c:v>4148621868669.5713</c:v>
                </c:pt>
                <c:pt idx="27">
                  <c:v>4205692267451.7031</c:v>
                </c:pt>
                <c:pt idx="28">
                  <c:v>4262762666233.835</c:v>
                </c:pt>
                <c:pt idx="29">
                  <c:v>4319833065015.9668</c:v>
                </c:pt>
                <c:pt idx="30">
                  <c:v>4376903463798.0986</c:v>
                </c:pt>
              </c:numCache>
            </c:numRef>
          </c:val>
          <c:smooth val="0"/>
          <c:extLst>
            <c:ext xmlns:c16="http://schemas.microsoft.com/office/drawing/2014/chart" uri="{C3380CC4-5D6E-409C-BE32-E72D297353CC}">
              <c16:uniqueId val="{00000014-9B0E-4789-92E7-780CE951D50E}"/>
            </c:ext>
          </c:extLst>
        </c:ser>
        <c:ser>
          <c:idx val="21"/>
          <c:order val="21"/>
          <c:tx>
            <c:strRef>
              <c:f>'BIFUbC-natural-gas'!$A$23</c:f>
              <c:strCache>
                <c:ptCount val="1"/>
                <c:pt idx="0">
                  <c:v>other manufacturing 31T33</c:v>
                </c:pt>
              </c:strCache>
            </c:strRef>
          </c:tx>
          <c:spPr>
            <a:ln w="28575" cap="rnd">
              <a:solidFill>
                <a:schemeClr val="accent4">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'BIFUbC-natural-gas'!$B$23:$AF$23</c:f>
              <c:numCache>
                <c:formatCode>0.00E+00</c:formatCode>
                <c:ptCount val="31"/>
                <c:pt idx="0">
                  <c:v>23499450491970.035</c:v>
                </c:pt>
                <c:pt idx="1">
                  <c:v>21764881265170.047</c:v>
                </c:pt>
                <c:pt idx="2">
                  <c:v>20030312038370.055</c:v>
                </c:pt>
                <c:pt idx="3">
                  <c:v>18295742811570.059</c:v>
                </c:pt>
                <c:pt idx="4">
                  <c:v>16561173584770.066</c:v>
                </c:pt>
                <c:pt idx="5">
                  <c:v>14826604357970.072</c:v>
                </c:pt>
                <c:pt idx="6">
                  <c:v>15078292514671.506</c:v>
                </c:pt>
                <c:pt idx="7">
                  <c:v>15329980671372.936</c:v>
                </c:pt>
                <c:pt idx="8">
                  <c:v>15581668828074.367</c:v>
                </c:pt>
                <c:pt idx="9">
                  <c:v>15833356984775.797</c:v>
                </c:pt>
                <c:pt idx="10">
                  <c:v>16085045141477.234</c:v>
                </c:pt>
                <c:pt idx="11">
                  <c:v>16348231741885.832</c:v>
                </c:pt>
                <c:pt idx="12">
                  <c:v>16611418342294.434</c:v>
                </c:pt>
                <c:pt idx="13">
                  <c:v>16874604942703.037</c:v>
                </c:pt>
                <c:pt idx="14">
                  <c:v>17137791543111.639</c:v>
                </c:pt>
                <c:pt idx="15">
                  <c:v>17400978143520.244</c:v>
                </c:pt>
                <c:pt idx="16">
                  <c:v>17699937679906.715</c:v>
                </c:pt>
                <c:pt idx="17">
                  <c:v>17998897216293.184</c:v>
                </c:pt>
                <c:pt idx="18">
                  <c:v>18297856752679.656</c:v>
                </c:pt>
                <c:pt idx="19">
                  <c:v>18596816289066.125</c:v>
                </c:pt>
                <c:pt idx="20">
                  <c:v>18895775825452.586</c:v>
                </c:pt>
                <c:pt idx="21">
                  <c:v>19147038113868.551</c:v>
                </c:pt>
                <c:pt idx="22">
                  <c:v>19430821253173.469</c:v>
                </c:pt>
                <c:pt idx="23">
                  <c:v>19714604392478.465</c:v>
                </c:pt>
                <c:pt idx="24">
                  <c:v>19998387531783.383</c:v>
                </c:pt>
                <c:pt idx="25">
                  <c:v>20282170671088.379</c:v>
                </c:pt>
                <c:pt idx="26">
                  <c:v>20565953810393.297</c:v>
                </c:pt>
                <c:pt idx="27">
                  <c:v>20849736949698.297</c:v>
                </c:pt>
                <c:pt idx="28">
                  <c:v>21133520089003.211</c:v>
                </c:pt>
                <c:pt idx="29">
                  <c:v>21417303228308.129</c:v>
                </c:pt>
                <c:pt idx="30">
                  <c:v>21701086367613.125</c:v>
                </c:pt>
              </c:numCache>
            </c:numRef>
          </c:val>
          <c:smooth val="0"/>
          <c:extLst>
            <c:ext xmlns:c16="http://schemas.microsoft.com/office/drawing/2014/chart" uri="{C3380CC4-5D6E-409C-BE32-E72D297353CC}">
              <c16:uniqueId val="{00000015-9B0E-4789-92E7-780CE951D50E}"/>
            </c:ext>
          </c:extLst>
        </c:ser>
        <c:ser>
          <c:idx val="22"/>
          <c:order val="22"/>
          <c:tx>
            <c:strRef>
              <c:f>'BIFUbC-natural-gas'!$A$24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'BIFUbC-natural-gas'!$B$24:$AF$24</c:f>
              <c:numCache>
                <c:formatCode>0.E+00</c:formatCode>
                <c:ptCount val="31"/>
                <c:pt idx="0">
                  <c:v>4617163393378.5254</c:v>
                </c:pt>
                <c:pt idx="1">
                  <c:v>4649857303447.8115</c:v>
                </c:pt>
                <c:pt idx="2">
                  <c:v>4682551213517.0977</c:v>
                </c:pt>
                <c:pt idx="3">
                  <c:v>4715245123586.3828</c:v>
                </c:pt>
                <c:pt idx="4">
                  <c:v>4747939033655.668</c:v>
                </c:pt>
                <c:pt idx="5">
                  <c:v>4780632943724.9541</c:v>
                </c:pt>
                <c:pt idx="6">
                  <c:v>4867544254659.1299</c:v>
                </c:pt>
                <c:pt idx="7">
                  <c:v>4954455565593.3145</c:v>
                </c:pt>
                <c:pt idx="8">
                  <c:v>5041366876527.498</c:v>
                </c:pt>
                <c:pt idx="9">
                  <c:v>5128278187461.6826</c:v>
                </c:pt>
                <c:pt idx="10">
                  <c:v>5215189498395.876</c:v>
                </c:pt>
                <c:pt idx="11">
                  <c:v>5278329612217.1758</c:v>
                </c:pt>
                <c:pt idx="12">
                  <c:v>5341469726038.4834</c:v>
                </c:pt>
                <c:pt idx="13">
                  <c:v>5404609839859.791</c:v>
                </c:pt>
                <c:pt idx="14">
                  <c:v>5467749953681.0986</c:v>
                </c:pt>
                <c:pt idx="15">
                  <c:v>5530890067502.4141</c:v>
                </c:pt>
                <c:pt idx="16">
                  <c:v>5636038450147.126</c:v>
                </c:pt>
                <c:pt idx="17">
                  <c:v>5741186832791.8281</c:v>
                </c:pt>
                <c:pt idx="18">
                  <c:v>5846335215436.5313</c:v>
                </c:pt>
                <c:pt idx="19">
                  <c:v>5951483598081.2344</c:v>
                </c:pt>
                <c:pt idx="20">
                  <c:v>6056631980725.9502</c:v>
                </c:pt>
                <c:pt idx="21">
                  <c:v>6105769338272.7686</c:v>
                </c:pt>
                <c:pt idx="22">
                  <c:v>6193096031113.627</c:v>
                </c:pt>
                <c:pt idx="23">
                  <c:v>6280422723954.4502</c:v>
                </c:pt>
                <c:pt idx="24">
                  <c:v>6367749416795.3076</c:v>
                </c:pt>
                <c:pt idx="25">
                  <c:v>6455076109636.1309</c:v>
                </c:pt>
                <c:pt idx="26">
                  <c:v>6542402802476.9893</c:v>
                </c:pt>
                <c:pt idx="27">
                  <c:v>6629729495317.8135</c:v>
                </c:pt>
                <c:pt idx="28">
                  <c:v>6717056188158.6709</c:v>
                </c:pt>
                <c:pt idx="29">
                  <c:v>6804382880999.5293</c:v>
                </c:pt>
                <c:pt idx="30">
                  <c:v>6891709573840.3535</c:v>
                </c:pt>
              </c:numCache>
            </c:numRef>
          </c:val>
          <c:smooth val="0"/>
          <c:extLst>
            <c:ext xmlns:c16="http://schemas.microsoft.com/office/drawing/2014/chart" uri="{C3380CC4-5D6E-409C-BE32-E72D297353CC}">
              <c16:uniqueId val="{00000016-9B0E-4789-92E7-780CE951D50E}"/>
            </c:ext>
          </c:extLst>
        </c:ser>
        <c:ser>
          <c:idx val="23"/>
          <c:order val="23"/>
          <c:tx>
            <c:strRef>
              <c:f>'BIFUbC-natural-gas'!$A$25</c:f>
              <c:strCache>
                <c:ptCount val="1"/>
                <c:pt idx="0">
                  <c:v>water and waste 36T39</c:v>
                </c:pt>
              </c:strCache>
            </c:strRef>
          </c:tx>
          <c:spPr>
            <a:ln w="28575" cap="rnd">
              <a:solidFill>
                <a:schemeClr val="accent6">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'BIFUbC-natural-gas'!$B$25:$AF$25</c:f>
              <c:numCache>
                <c:formatCode>0.E+00</c:formatCode>
                <c:ptCount val="31"/>
                <c:pt idx="0">
                  <c:v>5506553237775.4502</c:v>
                </c:pt>
                <c:pt idx="1">
                  <c:v>5512059791013.2246</c:v>
                </c:pt>
                <c:pt idx="2">
                  <c:v>5517571850804.2373</c:v>
                </c:pt>
                <c:pt idx="3">
                  <c:v>5523089422655.041</c:v>
                </c:pt>
                <c:pt idx="4">
                  <c:v>5528612512077.6953</c:v>
                </c:pt>
                <c:pt idx="5">
                  <c:v>5534141124589.7725</c:v>
                </c:pt>
                <c:pt idx="6">
                  <c:v>5539675265714.3613</c:v>
                </c:pt>
                <c:pt idx="7">
                  <c:v>5545214940980.0752</c:v>
                </c:pt>
                <c:pt idx="8">
                  <c:v>5550760155921.0547</c:v>
                </c:pt>
                <c:pt idx="9">
                  <c:v>5556310916076.9756</c:v>
                </c:pt>
                <c:pt idx="10">
                  <c:v>5561867226993.0518</c:v>
                </c:pt>
                <c:pt idx="11">
                  <c:v>5567429094220.0439</c:v>
                </c:pt>
                <c:pt idx="12">
                  <c:v>5572996523314.2637</c:v>
                </c:pt>
                <c:pt idx="13">
                  <c:v>5578569519837.5771</c:v>
                </c:pt>
                <c:pt idx="14">
                  <c:v>5584148089357.4141</c:v>
                </c:pt>
                <c:pt idx="15">
                  <c:v>5589732237446.7705</c:v>
                </c:pt>
                <c:pt idx="16">
                  <c:v>5595321969684.2168</c:v>
                </c:pt>
                <c:pt idx="17">
                  <c:v>5600917291653.9004</c:v>
                </c:pt>
                <c:pt idx="18">
                  <c:v>5606518208945.5537</c:v>
                </c:pt>
                <c:pt idx="19">
                  <c:v>5612124727154.499</c:v>
                </c:pt>
                <c:pt idx="20">
                  <c:v>5617736851881.6533</c:v>
                </c:pt>
                <c:pt idx="21">
                  <c:v>5589648167622.2451</c:v>
                </c:pt>
                <c:pt idx="22">
                  <c:v>5561699926784.1338</c:v>
                </c:pt>
                <c:pt idx="23">
                  <c:v>5533891427150.2129</c:v>
                </c:pt>
                <c:pt idx="24">
                  <c:v>5506221970014.4619</c:v>
                </c:pt>
                <c:pt idx="25">
                  <c:v>5478690860164.3896</c:v>
                </c:pt>
                <c:pt idx="26">
                  <c:v>5451297405863.5674</c:v>
                </c:pt>
                <c:pt idx="27">
                  <c:v>5424040918834.25</c:v>
                </c:pt>
                <c:pt idx="28">
                  <c:v>5396920714240.0791</c:v>
                </c:pt>
                <c:pt idx="29">
                  <c:v>5369936110668.8789</c:v>
                </c:pt>
                <c:pt idx="30">
                  <c:v>5343086430115.5342</c:v>
                </c:pt>
              </c:numCache>
            </c:numRef>
          </c:val>
          <c:smooth val="0"/>
          <c:extLst>
            <c:ext xmlns:c16="http://schemas.microsoft.com/office/drawing/2014/chart" uri="{C3380CC4-5D6E-409C-BE32-E72D297353CC}">
              <c16:uniqueId val="{00000017-9B0E-4789-92E7-780CE951D50E}"/>
            </c:ext>
          </c:extLst>
        </c:ser>
        <c:ser>
          <c:idx val="24"/>
          <c:order val="24"/>
          <c:tx>
            <c:strRef>
              <c:f>'BIFUbC-natural-gas'!$A$26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'BIFUbC-natural-gas'!$B$26:$AF$26</c:f>
              <c:numCache>
                <c:formatCode>0.00E+00</c:formatCode>
                <c:ptCount val="31"/>
                <c:pt idx="0">
                  <c:v>7988934384.4875193</c:v>
                </c:pt>
                <c:pt idx="1">
                  <c:v>7399245713.1293726</c:v>
                </c:pt>
                <c:pt idx="2">
                  <c:v>6809557041.771224</c:v>
                </c:pt>
                <c:pt idx="3">
                  <c:v>6219868370.4130754</c:v>
                </c:pt>
                <c:pt idx="4">
                  <c:v>5630179699.0549278</c:v>
                </c:pt>
                <c:pt idx="5">
                  <c:v>5040491027.6967783</c:v>
                </c:pt>
                <c:pt idx="6">
                  <c:v>5126055588.8735361</c:v>
                </c:pt>
                <c:pt idx="7">
                  <c:v>5211620150.050293</c:v>
                </c:pt>
                <c:pt idx="8">
                  <c:v>5297184711.2270508</c:v>
                </c:pt>
                <c:pt idx="9">
                  <c:v>5382749272.4038076</c:v>
                </c:pt>
                <c:pt idx="10">
                  <c:v>5468313833.5805664</c:v>
                </c:pt>
                <c:pt idx="11">
                  <c:v>5557787435.6232643</c:v>
                </c:pt>
                <c:pt idx="12">
                  <c:v>5647261037.6659651</c:v>
                </c:pt>
                <c:pt idx="13">
                  <c:v>5736734639.7086649</c:v>
                </c:pt>
                <c:pt idx="14">
                  <c:v>5826208241.7513657</c:v>
                </c:pt>
                <c:pt idx="15">
                  <c:v>5915681843.7940664</c:v>
                </c:pt>
                <c:pt idx="16">
                  <c:v>6017316906.308589</c:v>
                </c:pt>
                <c:pt idx="17">
                  <c:v>6118951968.8231125</c:v>
                </c:pt>
                <c:pt idx="18">
                  <c:v>6220587031.3376369</c:v>
                </c:pt>
                <c:pt idx="19">
                  <c:v>6322222093.8521605</c:v>
                </c:pt>
                <c:pt idx="20">
                  <c:v>6423857156.3666801</c:v>
                </c:pt>
                <c:pt idx="21">
                  <c:v>6509276938.2521</c:v>
                </c:pt>
                <c:pt idx="22">
                  <c:v>6605752593.2937174</c:v>
                </c:pt>
                <c:pt idx="23">
                  <c:v>6702228248.3353624</c:v>
                </c:pt>
                <c:pt idx="24">
                  <c:v>6798703903.3769798</c:v>
                </c:pt>
                <c:pt idx="25">
                  <c:v>6895179558.4186239</c:v>
                </c:pt>
                <c:pt idx="26">
                  <c:v>6991655213.4602413</c:v>
                </c:pt>
                <c:pt idx="27">
                  <c:v>7088130868.5018864</c:v>
                </c:pt>
                <c:pt idx="28">
                  <c:v>7184606523.5435028</c:v>
                </c:pt>
                <c:pt idx="29">
                  <c:v>7281082178.5851202</c:v>
                </c:pt>
                <c:pt idx="30">
                  <c:v>7377557833.6267653</c:v>
                </c:pt>
              </c:numCache>
            </c:numRef>
          </c:val>
          <c:smooth val="0"/>
          <c:extLst>
            <c:ext xmlns:c16="http://schemas.microsoft.com/office/drawing/2014/chart" uri="{C3380CC4-5D6E-409C-BE32-E72D297353CC}">
              <c16:uniqueId val="{00000018-9B0E-4789-92E7-780CE951D50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0.E+00</c:formatCode>
                <c:ptCount val="3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530412</xdr:colOff>
      <xdr:row>18</xdr:row>
      <xdr:rowOff>0</xdr:rowOff>
    </xdr:from>
    <xdr:to>
      <xdr:col>18</xdr:col>
      <xdr:colOff>271738</xdr:colOff>
      <xdr:row>50</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28</xdr:row>
      <xdr:rowOff>0</xdr:rowOff>
    </xdr:from>
    <xdr:to>
      <xdr:col>16</xdr:col>
      <xdr:colOff>59872</xdr:colOff>
      <xdr:row>60</xdr:row>
      <xdr:rowOff>14152</xdr:rowOff>
    </xdr:to>
    <xdr:graphicFrame macro="">
      <xdr:nvGraphicFramePr>
        <xdr:cNvPr id="2" name="차트 1">
          <a:extLst>
            <a:ext uri="{FF2B5EF4-FFF2-40B4-BE49-F238E27FC236}">
              <a16:creationId xmlns:a16="http://schemas.microsoft.com/office/drawing/2014/main" id="{435E1723-6266-40A0-A00B-180EFAEC3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68580</xdr:colOff>
      <xdr:row>27</xdr:row>
      <xdr:rowOff>53340</xdr:rowOff>
    </xdr:from>
    <xdr:to>
      <xdr:col>15</xdr:col>
      <xdr:colOff>524692</xdr:colOff>
      <xdr:row>59</xdr:row>
      <xdr:rowOff>67492</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zoomScaleNormal="100" workbookViewId="0">
      <selection activeCell="B23" sqref="B23"/>
    </sheetView>
  </sheetViews>
  <sheetFormatPr defaultColWidth="8.9140625" defaultRowHeight="17"/>
  <cols>
    <col min="2" max="2" width="43" customWidth="1"/>
    <col min="3" max="3" width="39.6640625" bestFit="1" customWidth="1"/>
    <col min="4" max="4" width="41.08203125" style="4" bestFit="1" customWidth="1"/>
    <col min="5" max="5" width="60.4140625" customWidth="1"/>
    <col min="6" max="6" width="61.58203125" bestFit="1" customWidth="1"/>
  </cols>
  <sheetData>
    <row r="1" spans="1:4">
      <c r="A1" s="1" t="s">
        <v>1</v>
      </c>
    </row>
    <row r="3" spans="1:4">
      <c r="A3" s="1" t="s">
        <v>0</v>
      </c>
      <c r="B3" s="3" t="s">
        <v>414</v>
      </c>
    </row>
    <row r="4" spans="1:4">
      <c r="B4" t="s">
        <v>687</v>
      </c>
    </row>
    <row r="5" spans="1:4">
      <c r="B5" s="2">
        <v>2019</v>
      </c>
    </row>
    <row r="6" spans="1:4" s="4" customFormat="1">
      <c r="B6" t="s">
        <v>688</v>
      </c>
    </row>
    <row r="7" spans="1:4">
      <c r="B7" s="101" t="s">
        <v>686</v>
      </c>
    </row>
    <row r="8" spans="1:4" s="4" customFormat="1"/>
    <row r="9" spans="1:4" s="37" customFormat="1">
      <c r="B9" s="3" t="s">
        <v>606</v>
      </c>
    </row>
    <row r="10" spans="1:4">
      <c r="B10" s="37" t="s">
        <v>687</v>
      </c>
      <c r="D10" s="28"/>
    </row>
    <row r="11" spans="1:4">
      <c r="B11" s="2">
        <v>2021</v>
      </c>
      <c r="D11" s="28"/>
    </row>
    <row r="12" spans="1:4">
      <c r="B12" t="s">
        <v>689</v>
      </c>
      <c r="D12" s="27"/>
    </row>
    <row r="13" spans="1:4">
      <c r="B13" s="101" t="s">
        <v>413</v>
      </c>
      <c r="D13" s="28"/>
    </row>
    <row r="14" spans="1:4">
      <c r="D14" s="27"/>
    </row>
    <row r="15" spans="1:4" s="37" customFormat="1">
      <c r="B15" s="37" t="s">
        <v>690</v>
      </c>
      <c r="D15" s="28"/>
    </row>
    <row r="16" spans="1:4" s="37" customFormat="1">
      <c r="B16" s="2">
        <v>2021</v>
      </c>
      <c r="D16" s="28"/>
    </row>
    <row r="17" spans="2:17" s="37" customFormat="1">
      <c r="B17" s="37" t="s">
        <v>691</v>
      </c>
      <c r="D17" s="27"/>
    </row>
    <row r="18" spans="2:17" s="37" customFormat="1">
      <c r="B18" s="101" t="s">
        <v>632</v>
      </c>
      <c r="D18" s="28"/>
    </row>
    <row r="19" spans="2:17" s="37" customFormat="1">
      <c r="D19" s="27"/>
    </row>
    <row r="20" spans="2:17">
      <c r="B20" s="37" t="s">
        <v>690</v>
      </c>
    </row>
    <row r="21" spans="2:17" s="37" customFormat="1">
      <c r="B21" s="2">
        <v>2021</v>
      </c>
    </row>
    <row r="22" spans="2:17" s="37" customFormat="1">
      <c r="B22" s="37" t="s">
        <v>790</v>
      </c>
      <c r="I22" s="286"/>
      <c r="J22" s="286"/>
      <c r="K22" s="286"/>
      <c r="L22" s="286"/>
      <c r="M22" s="286"/>
      <c r="N22" s="286"/>
      <c r="O22" s="286"/>
      <c r="P22" s="286"/>
      <c r="Q22" s="286"/>
    </row>
    <row r="23" spans="2:17" s="37" customFormat="1">
      <c r="B23" s="101" t="s">
        <v>789</v>
      </c>
      <c r="I23" s="286"/>
      <c r="J23" s="286"/>
      <c r="K23" s="286"/>
      <c r="L23" s="286"/>
      <c r="M23" s="286"/>
      <c r="N23" s="286"/>
      <c r="O23" s="286"/>
      <c r="P23" s="286"/>
      <c r="Q23" s="286"/>
    </row>
    <row r="24" spans="2:17" s="37" customFormat="1">
      <c r="I24" s="286"/>
      <c r="J24" s="286"/>
      <c r="K24" s="286"/>
      <c r="L24" s="286"/>
      <c r="M24" s="286"/>
      <c r="N24" s="286"/>
      <c r="O24" s="286"/>
      <c r="P24" s="286"/>
      <c r="Q24" s="286"/>
    </row>
    <row r="25" spans="2:17" s="37" customFormat="1">
      <c r="I25" s="286"/>
      <c r="J25" s="286"/>
      <c r="K25" s="286"/>
      <c r="L25" s="286"/>
      <c r="M25" s="286"/>
      <c r="N25" s="286"/>
      <c r="O25" s="286"/>
      <c r="P25" s="286"/>
      <c r="Q25" s="286"/>
    </row>
    <row r="26" spans="2:17" s="37" customFormat="1">
      <c r="I26" s="286"/>
      <c r="J26" s="286"/>
      <c r="K26" s="286"/>
      <c r="L26" s="286"/>
      <c r="M26" s="286"/>
      <c r="N26" s="286"/>
      <c r="O26" s="286"/>
      <c r="P26" s="286"/>
      <c r="Q26" s="286"/>
    </row>
    <row r="27" spans="2:17" s="37" customFormat="1">
      <c r="I27" s="286"/>
      <c r="J27" s="286"/>
      <c r="K27" s="286"/>
      <c r="L27" s="286"/>
      <c r="M27" s="286"/>
      <c r="N27" s="286"/>
      <c r="O27" s="286"/>
      <c r="P27" s="286"/>
      <c r="Q27" s="286"/>
    </row>
    <row r="28" spans="2:17" s="37" customFormat="1">
      <c r="I28" s="286"/>
      <c r="J28" s="286"/>
      <c r="K28" s="286"/>
      <c r="L28" s="286"/>
      <c r="M28" s="286"/>
      <c r="N28" s="286"/>
      <c r="O28" s="286"/>
      <c r="P28" s="286"/>
      <c r="Q28" s="286"/>
    </row>
    <row r="29" spans="2:17" s="37" customFormat="1">
      <c r="B29" s="1" t="s">
        <v>692</v>
      </c>
      <c r="C29"/>
      <c r="D29" s="4"/>
      <c r="E29"/>
      <c r="F29"/>
      <c r="G29"/>
      <c r="H29"/>
      <c r="I29" s="286"/>
      <c r="J29" s="286"/>
      <c r="K29" s="286"/>
      <c r="L29" s="286"/>
      <c r="M29" s="286"/>
      <c r="N29" s="286"/>
      <c r="O29" s="286"/>
      <c r="P29" s="286"/>
      <c r="Q29" s="286"/>
    </row>
    <row r="30" spans="2:17" s="37" customFormat="1">
      <c r="B30" s="287" t="s">
        <v>415</v>
      </c>
      <c r="C30" s="287" t="s">
        <v>739</v>
      </c>
      <c r="D30" s="287" t="s">
        <v>577</v>
      </c>
      <c r="E30" s="287" t="s">
        <v>578</v>
      </c>
      <c r="F30" s="287" t="s">
        <v>621</v>
      </c>
      <c r="I30" s="286"/>
      <c r="J30" s="286"/>
      <c r="K30" s="286"/>
      <c r="L30" s="286"/>
      <c r="M30" s="286"/>
      <c r="N30" s="286"/>
      <c r="O30" s="286"/>
      <c r="P30" s="286"/>
      <c r="Q30" s="286"/>
    </row>
    <row r="31" spans="2:17" s="37" customFormat="1">
      <c r="B31" s="288" t="s">
        <v>2</v>
      </c>
      <c r="C31" s="289" t="s">
        <v>718</v>
      </c>
      <c r="D31" s="290" t="s">
        <v>710</v>
      </c>
      <c r="E31" s="293"/>
      <c r="F31" s="291"/>
      <c r="I31" s="286"/>
      <c r="J31" s="286"/>
      <c r="K31" s="286"/>
      <c r="L31" s="286"/>
      <c r="M31" s="286"/>
      <c r="N31" s="286"/>
      <c r="O31" s="286"/>
      <c r="P31" s="286"/>
      <c r="Q31" s="286"/>
    </row>
    <row r="32" spans="2:17" s="37" customFormat="1">
      <c r="B32" s="288" t="s">
        <v>3</v>
      </c>
      <c r="C32" s="290" t="s">
        <v>694</v>
      </c>
      <c r="D32" s="289" t="s">
        <v>711</v>
      </c>
      <c r="E32" s="353"/>
      <c r="F32" s="290" t="s">
        <v>732</v>
      </c>
      <c r="I32" s="286"/>
      <c r="J32" s="286"/>
      <c r="K32" s="286"/>
      <c r="L32" s="286"/>
      <c r="M32" s="286"/>
      <c r="N32" s="286"/>
      <c r="O32" s="286"/>
      <c r="P32" s="286"/>
      <c r="Q32" s="286"/>
    </row>
    <row r="33" spans="2:21" s="37" customFormat="1">
      <c r="B33" s="288" t="s">
        <v>4</v>
      </c>
      <c r="C33" s="290" t="s">
        <v>694</v>
      </c>
      <c r="D33" s="290" t="s">
        <v>712</v>
      </c>
      <c r="E33" s="293"/>
      <c r="F33" s="301"/>
      <c r="I33" s="286"/>
      <c r="J33" s="286"/>
      <c r="K33" s="286"/>
      <c r="L33" s="286"/>
      <c r="M33" s="286"/>
      <c r="N33" s="286"/>
      <c r="O33" s="286"/>
      <c r="P33" s="286"/>
      <c r="Q33" s="286"/>
      <c r="T33" s="212"/>
      <c r="U33" s="212"/>
    </row>
    <row r="34" spans="2:21" s="37" customFormat="1">
      <c r="B34" s="288" t="s">
        <v>5</v>
      </c>
      <c r="C34" s="289" t="s">
        <v>718</v>
      </c>
      <c r="D34" s="290" t="s">
        <v>713</v>
      </c>
      <c r="E34" s="293"/>
      <c r="F34" s="291"/>
      <c r="I34" s="286"/>
      <c r="J34" s="286"/>
      <c r="K34" s="286"/>
      <c r="L34" s="286"/>
      <c r="M34" s="286"/>
      <c r="N34" s="286"/>
      <c r="O34" s="286"/>
      <c r="P34" s="286"/>
      <c r="Q34" s="286"/>
    </row>
    <row r="35" spans="2:21" s="37" customFormat="1">
      <c r="B35" s="288" t="s">
        <v>6</v>
      </c>
      <c r="C35" s="289" t="s">
        <v>718</v>
      </c>
      <c r="D35" s="290" t="s">
        <v>714</v>
      </c>
      <c r="E35" s="293"/>
      <c r="F35" s="291"/>
      <c r="I35" s="286"/>
      <c r="J35" s="286"/>
      <c r="K35" s="286"/>
      <c r="L35" s="286"/>
      <c r="M35" s="286"/>
      <c r="N35" s="286"/>
      <c r="O35" s="286"/>
      <c r="P35" s="286"/>
      <c r="Q35" s="286"/>
    </row>
    <row r="36" spans="2:21" s="37" customFormat="1">
      <c r="B36" s="288" t="s">
        <v>7</v>
      </c>
      <c r="C36" s="289" t="s">
        <v>718</v>
      </c>
      <c r="D36" s="290" t="s">
        <v>715</v>
      </c>
      <c r="E36" s="293"/>
      <c r="F36" s="292"/>
      <c r="I36" s="286"/>
      <c r="J36" s="286"/>
      <c r="K36" s="286"/>
      <c r="L36" s="286"/>
      <c r="M36" s="286"/>
      <c r="N36" s="286"/>
      <c r="O36" s="286"/>
      <c r="P36" s="286"/>
      <c r="Q36" s="286"/>
    </row>
    <row r="37" spans="2:21" s="37" customFormat="1">
      <c r="B37" s="288" t="s">
        <v>8</v>
      </c>
      <c r="C37" s="289" t="s">
        <v>718</v>
      </c>
      <c r="D37" s="290" t="s">
        <v>740</v>
      </c>
      <c r="E37" s="293"/>
      <c r="F37" s="292"/>
      <c r="I37" s="286"/>
      <c r="J37" s="286"/>
      <c r="K37" s="286"/>
      <c r="L37" s="286"/>
      <c r="M37" s="286"/>
      <c r="N37" s="286"/>
      <c r="O37" s="286"/>
      <c r="P37" s="286"/>
      <c r="Q37" s="286"/>
    </row>
    <row r="38" spans="2:21" s="37" customFormat="1">
      <c r="B38" s="288" t="s">
        <v>9</v>
      </c>
      <c r="C38" s="289" t="s">
        <v>718</v>
      </c>
      <c r="D38" s="290" t="s">
        <v>741</v>
      </c>
      <c r="E38" s="293"/>
      <c r="F38" s="292"/>
      <c r="I38" s="286"/>
      <c r="J38" s="286"/>
      <c r="K38" s="286"/>
      <c r="L38" s="286"/>
      <c r="M38" s="286"/>
      <c r="N38" s="286"/>
      <c r="O38" s="286"/>
      <c r="P38" s="286"/>
      <c r="Q38" s="286"/>
    </row>
    <row r="39" spans="2:21" s="37" customFormat="1" ht="51">
      <c r="B39" s="288" t="s">
        <v>10</v>
      </c>
      <c r="C39" s="290" t="s">
        <v>694</v>
      </c>
      <c r="D39" s="293" t="s">
        <v>716</v>
      </c>
      <c r="E39" s="293"/>
      <c r="F39" s="290" t="s">
        <v>731</v>
      </c>
      <c r="I39" s="286"/>
      <c r="J39" s="286"/>
      <c r="K39" s="286"/>
      <c r="L39" s="286"/>
      <c r="M39" s="286"/>
      <c r="N39" s="286"/>
      <c r="O39" s="286"/>
      <c r="P39" s="286"/>
      <c r="Q39" s="286"/>
    </row>
    <row r="40" spans="2:21" s="37" customFormat="1" ht="102">
      <c r="B40" s="288" t="s">
        <v>11</v>
      </c>
      <c r="C40" s="290" t="s">
        <v>695</v>
      </c>
      <c r="D40" s="290" t="s">
        <v>705</v>
      </c>
      <c r="E40" s="293" t="s">
        <v>717</v>
      </c>
      <c r="F40" s="292"/>
      <c r="I40" s="286"/>
      <c r="J40" s="286"/>
      <c r="K40" s="286"/>
      <c r="L40" s="286"/>
      <c r="M40" s="286"/>
      <c r="N40" s="286"/>
      <c r="O40" s="286"/>
      <c r="P40" s="286"/>
      <c r="Q40" s="286"/>
    </row>
    <row r="41" spans="2:21" s="37" customFormat="1" ht="34">
      <c r="B41" s="288" t="s">
        <v>12</v>
      </c>
      <c r="C41" s="290" t="s">
        <v>695</v>
      </c>
      <c r="D41" s="290" t="s">
        <v>705</v>
      </c>
      <c r="E41" s="293" t="s">
        <v>719</v>
      </c>
      <c r="F41" s="292"/>
      <c r="I41" s="286"/>
      <c r="J41" s="286"/>
      <c r="K41" s="286"/>
      <c r="L41" s="286"/>
      <c r="M41" s="286"/>
      <c r="N41" s="286"/>
      <c r="O41" s="286"/>
      <c r="P41" s="286"/>
      <c r="Q41" s="286"/>
    </row>
    <row r="42" spans="2:21" s="37" customFormat="1">
      <c r="B42" s="288" t="s">
        <v>13</v>
      </c>
      <c r="C42" s="289" t="s">
        <v>718</v>
      </c>
      <c r="D42" s="290" t="s">
        <v>703</v>
      </c>
      <c r="E42" s="293" t="s">
        <v>720</v>
      </c>
      <c r="F42" s="292"/>
    </row>
    <row r="43" spans="2:21" s="37" customFormat="1" ht="68">
      <c r="B43" s="288" t="s">
        <v>14</v>
      </c>
      <c r="C43" s="289" t="s">
        <v>718</v>
      </c>
      <c r="D43" s="290" t="s">
        <v>703</v>
      </c>
      <c r="E43" s="293" t="s">
        <v>721</v>
      </c>
      <c r="F43" s="292"/>
    </row>
    <row r="44" spans="2:21" s="37" customFormat="1">
      <c r="B44" s="288" t="s">
        <v>15</v>
      </c>
      <c r="C44" s="290" t="s">
        <v>696</v>
      </c>
      <c r="D44" s="290" t="s">
        <v>697</v>
      </c>
      <c r="E44" s="293"/>
      <c r="F44" s="292"/>
    </row>
    <row r="45" spans="2:21" s="37" customFormat="1">
      <c r="B45" s="288" t="s">
        <v>16</v>
      </c>
      <c r="C45" s="290" t="s">
        <v>698</v>
      </c>
      <c r="D45" s="290" t="s">
        <v>699</v>
      </c>
      <c r="E45" s="293" t="s">
        <v>722</v>
      </c>
      <c r="F45" s="292"/>
    </row>
    <row r="46" spans="2:21" s="37" customFormat="1" ht="51">
      <c r="B46" s="288" t="s">
        <v>17</v>
      </c>
      <c r="C46" s="290" t="s">
        <v>698</v>
      </c>
      <c r="D46" s="290" t="s">
        <v>699</v>
      </c>
      <c r="E46" s="293" t="s">
        <v>723</v>
      </c>
      <c r="F46" s="292"/>
    </row>
    <row r="47" spans="2:21" ht="85">
      <c r="B47" s="288" t="s">
        <v>18</v>
      </c>
      <c r="C47" s="290" t="s">
        <v>700</v>
      </c>
      <c r="D47" s="290" t="s">
        <v>704</v>
      </c>
      <c r="E47" s="293" t="s">
        <v>724</v>
      </c>
      <c r="F47" s="292"/>
      <c r="G47" s="37"/>
      <c r="H47" s="37"/>
    </row>
    <row r="48" spans="2:21" ht="85">
      <c r="B48" s="288" t="s">
        <v>19</v>
      </c>
      <c r="C48" s="290" t="s">
        <v>700</v>
      </c>
      <c r="D48" s="290" t="s">
        <v>704</v>
      </c>
      <c r="E48" s="293" t="s">
        <v>725</v>
      </c>
      <c r="F48" s="291"/>
      <c r="G48" s="37"/>
      <c r="H48" s="37"/>
    </row>
    <row r="49" spans="2:8" s="37" customFormat="1" ht="102">
      <c r="B49" s="288" t="s">
        <v>20</v>
      </c>
      <c r="C49" s="290" t="s">
        <v>700</v>
      </c>
      <c r="D49" s="290" t="s">
        <v>704</v>
      </c>
      <c r="E49" s="293" t="s">
        <v>726</v>
      </c>
      <c r="F49" s="291"/>
    </row>
    <row r="50" spans="2:8" s="37" customFormat="1" ht="68">
      <c r="B50" s="288" t="s">
        <v>21</v>
      </c>
      <c r="C50" s="290" t="s">
        <v>700</v>
      </c>
      <c r="D50" s="290" t="s">
        <v>706</v>
      </c>
      <c r="E50" s="316" t="s">
        <v>727</v>
      </c>
      <c r="F50" s="291"/>
    </row>
    <row r="51" spans="2:8" s="37" customFormat="1" ht="51">
      <c r="B51" s="288" t="s">
        <v>22</v>
      </c>
      <c r="C51" s="290" t="s">
        <v>700</v>
      </c>
      <c r="D51" s="290" t="s">
        <v>706</v>
      </c>
      <c r="E51" s="293" t="s">
        <v>728</v>
      </c>
      <c r="F51" s="291"/>
    </row>
    <row r="52" spans="2:8" s="37" customFormat="1">
      <c r="B52" s="288" t="s">
        <v>23</v>
      </c>
      <c r="C52" s="289" t="s">
        <v>718</v>
      </c>
      <c r="D52" s="290" t="s">
        <v>707</v>
      </c>
      <c r="E52" s="293"/>
      <c r="F52" s="291"/>
    </row>
    <row r="53" spans="2:8" s="37" customFormat="1" ht="51">
      <c r="B53" s="288" t="s">
        <v>24</v>
      </c>
      <c r="C53" s="290" t="s">
        <v>694</v>
      </c>
      <c r="D53" s="293" t="s">
        <v>708</v>
      </c>
      <c r="E53" s="293"/>
      <c r="F53" s="290" t="s">
        <v>733</v>
      </c>
    </row>
    <row r="54" spans="2:8" s="37" customFormat="1">
      <c r="B54" s="288" t="s">
        <v>25</v>
      </c>
      <c r="C54" s="290" t="s">
        <v>701</v>
      </c>
      <c r="D54" s="290" t="s">
        <v>702</v>
      </c>
      <c r="E54" s="293"/>
      <c r="F54" s="290" t="s">
        <v>734</v>
      </c>
    </row>
    <row r="55" spans="2:8" s="37" customFormat="1">
      <c r="B55" s="288" t="s">
        <v>26</v>
      </c>
      <c r="C55" s="289" t="s">
        <v>718</v>
      </c>
      <c r="D55" s="290" t="s">
        <v>709</v>
      </c>
      <c r="E55" s="293"/>
      <c r="F55" s="291"/>
    </row>
    <row r="56" spans="2:8" s="37" customFormat="1">
      <c r="B56"/>
      <c r="C56"/>
      <c r="D56" s="4"/>
      <c r="E56"/>
      <c r="F56"/>
      <c r="G56"/>
      <c r="H56"/>
    </row>
    <row r="57" spans="2:8" s="37" customFormat="1">
      <c r="B57" s="1" t="s">
        <v>608</v>
      </c>
      <c r="C57"/>
      <c r="D57" s="4"/>
      <c r="E57"/>
      <c r="F57"/>
      <c r="G57"/>
      <c r="H57"/>
    </row>
    <row r="58" spans="2:8" s="37" customFormat="1">
      <c r="B58" s="287" t="s">
        <v>609</v>
      </c>
      <c r="C58" s="287" t="s">
        <v>576</v>
      </c>
      <c r="D58" s="287" t="s">
        <v>621</v>
      </c>
      <c r="E58" s="287" t="s">
        <v>620</v>
      </c>
    </row>
    <row r="59" spans="2:8" s="37" customFormat="1">
      <c r="B59" s="288" t="s">
        <v>610</v>
      </c>
      <c r="C59" s="288" t="s">
        <v>610</v>
      </c>
      <c r="D59" s="290"/>
      <c r="E59" s="290"/>
    </row>
    <row r="60" spans="2:8" s="37" customFormat="1">
      <c r="B60" s="288" t="s">
        <v>611</v>
      </c>
      <c r="C60" s="288" t="s">
        <v>611</v>
      </c>
      <c r="D60" s="290"/>
      <c r="E60" s="290"/>
    </row>
    <row r="61" spans="2:8">
      <c r="B61" s="288" t="s">
        <v>612</v>
      </c>
      <c r="C61" s="288" t="s">
        <v>612</v>
      </c>
      <c r="D61" s="290"/>
      <c r="E61" s="290"/>
      <c r="F61" s="37"/>
      <c r="G61" s="37"/>
      <c r="H61" s="37"/>
    </row>
    <row r="62" spans="2:8">
      <c r="B62" s="288" t="s">
        <v>613</v>
      </c>
      <c r="C62" s="289" t="s">
        <v>729</v>
      </c>
      <c r="D62" s="290"/>
      <c r="E62" s="290" t="s">
        <v>735</v>
      </c>
      <c r="F62" s="37"/>
      <c r="G62" s="37"/>
      <c r="H62" s="37"/>
    </row>
    <row r="63" spans="2:8">
      <c r="B63" s="288" t="s">
        <v>618</v>
      </c>
      <c r="C63" s="289" t="s">
        <v>694</v>
      </c>
      <c r="D63" s="290"/>
      <c r="E63" s="290" t="s">
        <v>736</v>
      </c>
      <c r="F63" s="37"/>
      <c r="G63" s="37"/>
      <c r="H63" s="37"/>
    </row>
    <row r="64" spans="2:8">
      <c r="B64" s="288" t="s">
        <v>617</v>
      </c>
      <c r="C64" s="289" t="s">
        <v>730</v>
      </c>
      <c r="D64" s="290" t="s">
        <v>738</v>
      </c>
      <c r="E64" s="290"/>
      <c r="F64" s="37"/>
      <c r="G64" s="37"/>
      <c r="H64" s="37"/>
    </row>
    <row r="65" spans="2:8">
      <c r="B65" s="288" t="s">
        <v>614</v>
      </c>
      <c r="C65" s="289" t="s">
        <v>730</v>
      </c>
      <c r="D65" s="443" t="s">
        <v>737</v>
      </c>
      <c r="E65" s="290"/>
      <c r="F65" s="37"/>
      <c r="G65" s="37"/>
      <c r="H65" s="37"/>
    </row>
    <row r="66" spans="2:8">
      <c r="B66" s="288" t="s">
        <v>619</v>
      </c>
      <c r="C66" s="289" t="s">
        <v>730</v>
      </c>
      <c r="D66" s="444"/>
      <c r="E66" s="290"/>
      <c r="F66" s="37"/>
      <c r="G66" s="37"/>
      <c r="H66" s="37"/>
    </row>
    <row r="67" spans="2:8">
      <c r="B67" s="288" t="s">
        <v>615</v>
      </c>
      <c r="C67" s="289" t="s">
        <v>730</v>
      </c>
      <c r="D67" s="445"/>
      <c r="E67" s="290"/>
      <c r="F67" s="37"/>
      <c r="G67" s="37"/>
      <c r="H67" s="37"/>
    </row>
    <row r="68" spans="2:8">
      <c r="B68" s="288" t="s">
        <v>616</v>
      </c>
      <c r="C68" s="289" t="s">
        <v>694</v>
      </c>
      <c r="D68" s="290"/>
      <c r="E68" s="290"/>
      <c r="F68" s="37"/>
      <c r="G68" s="37"/>
      <c r="H68" s="37"/>
    </row>
    <row r="69" spans="2:8">
      <c r="B69" s="37"/>
      <c r="C69" s="37"/>
      <c r="D69" s="150"/>
      <c r="E69" s="37"/>
      <c r="F69" s="37"/>
      <c r="G69" s="37"/>
      <c r="H69" s="37"/>
    </row>
    <row r="70" spans="2:8">
      <c r="B70" s="299" t="s">
        <v>607</v>
      </c>
      <c r="C70" s="300">
        <f>39656668.31*(10^6)</f>
        <v>39656668310000</v>
      </c>
      <c r="D70" s="297" t="s">
        <v>29</v>
      </c>
    </row>
    <row r="71" spans="2:8">
      <c r="B71" s="399"/>
      <c r="C71" s="179"/>
      <c r="E71" s="37"/>
    </row>
    <row r="72" spans="2:8">
      <c r="B72" s="37"/>
      <c r="C72" s="37"/>
      <c r="D72" s="37"/>
      <c r="E72" s="37"/>
      <c r="F72" s="37"/>
    </row>
    <row r="73" spans="2:8">
      <c r="B73" s="1" t="s">
        <v>693</v>
      </c>
      <c r="C73" s="37"/>
      <c r="D73" s="37"/>
      <c r="E73" s="37"/>
      <c r="F73" s="37"/>
    </row>
    <row r="74" spans="2:8">
      <c r="B74" s="287" t="s">
        <v>415</v>
      </c>
      <c r="C74" s="287" t="s">
        <v>576</v>
      </c>
      <c r="D74" s="287" t="s">
        <v>577</v>
      </c>
      <c r="E74" s="287" t="s">
        <v>578</v>
      </c>
      <c r="F74" s="287" t="s">
        <v>621</v>
      </c>
    </row>
    <row r="75" spans="2:8">
      <c r="B75" s="288" t="s">
        <v>2</v>
      </c>
      <c r="C75" s="289" t="s">
        <v>580</v>
      </c>
      <c r="D75" s="290" t="s">
        <v>582</v>
      </c>
      <c r="E75" s="293"/>
      <c r="F75" s="291"/>
    </row>
    <row r="76" spans="2:8">
      <c r="B76" s="288" t="s">
        <v>3</v>
      </c>
      <c r="C76" s="290" t="s">
        <v>579</v>
      </c>
      <c r="D76" s="289" t="s">
        <v>581</v>
      </c>
      <c r="E76" s="353"/>
      <c r="F76" s="290" t="s">
        <v>622</v>
      </c>
    </row>
    <row r="77" spans="2:8">
      <c r="B77" s="288" t="s">
        <v>4</v>
      </c>
      <c r="C77" s="290" t="s">
        <v>579</v>
      </c>
      <c r="D77" s="290" t="s">
        <v>600</v>
      </c>
      <c r="E77" s="293"/>
      <c r="F77" s="301"/>
    </row>
    <row r="78" spans="2:8">
      <c r="B78" s="288" t="s">
        <v>5</v>
      </c>
      <c r="C78" s="289" t="s">
        <v>580</v>
      </c>
      <c r="D78" s="290" t="s">
        <v>583</v>
      </c>
      <c r="E78" s="293"/>
      <c r="F78" s="291"/>
    </row>
    <row r="79" spans="2:8">
      <c r="B79" s="288" t="s">
        <v>6</v>
      </c>
      <c r="C79" s="289" t="s">
        <v>580</v>
      </c>
      <c r="D79" s="290" t="s">
        <v>584</v>
      </c>
      <c r="E79" s="293"/>
      <c r="F79" s="291"/>
    </row>
    <row r="80" spans="2:8">
      <c r="B80" s="288" t="s">
        <v>7</v>
      </c>
      <c r="C80" s="289" t="s">
        <v>580</v>
      </c>
      <c r="D80" s="290" t="s">
        <v>585</v>
      </c>
      <c r="E80" s="293"/>
      <c r="F80" s="292"/>
    </row>
    <row r="81" spans="1:6">
      <c r="B81" s="288" t="s">
        <v>8</v>
      </c>
      <c r="C81" s="289" t="s">
        <v>580</v>
      </c>
      <c r="D81" s="290" t="s">
        <v>586</v>
      </c>
      <c r="E81" s="293"/>
      <c r="F81" s="292"/>
    </row>
    <row r="82" spans="1:6">
      <c r="B82" s="288" t="s">
        <v>9</v>
      </c>
      <c r="C82" s="289" t="s">
        <v>580</v>
      </c>
      <c r="D82" s="290" t="s">
        <v>587</v>
      </c>
      <c r="E82" s="293"/>
      <c r="F82" s="292"/>
    </row>
    <row r="83" spans="1:6" ht="34">
      <c r="B83" s="288" t="s">
        <v>10</v>
      </c>
      <c r="C83" s="290" t="s">
        <v>579</v>
      </c>
      <c r="D83" s="293" t="s">
        <v>597</v>
      </c>
      <c r="E83" s="293"/>
      <c r="F83" s="290" t="s">
        <v>623</v>
      </c>
    </row>
    <row r="84" spans="1:6" ht="51">
      <c r="B84" s="288" t="s">
        <v>11</v>
      </c>
      <c r="C84" s="290" t="s">
        <v>601</v>
      </c>
      <c r="D84" s="290" t="s">
        <v>588</v>
      </c>
      <c r="E84" s="293" t="s">
        <v>637</v>
      </c>
      <c r="F84" s="292"/>
    </row>
    <row r="85" spans="1:6">
      <c r="B85" s="288" t="s">
        <v>12</v>
      </c>
      <c r="C85" s="290" t="s">
        <v>601</v>
      </c>
      <c r="D85" s="290" t="s">
        <v>588</v>
      </c>
      <c r="E85" s="293" t="s">
        <v>636</v>
      </c>
      <c r="F85" s="292"/>
    </row>
    <row r="86" spans="1:6">
      <c r="B86" s="288" t="s">
        <v>13</v>
      </c>
      <c r="C86" s="289" t="s">
        <v>580</v>
      </c>
      <c r="D86" s="290" t="s">
        <v>589</v>
      </c>
      <c r="E86" s="293" t="s">
        <v>647</v>
      </c>
      <c r="F86" s="292"/>
    </row>
    <row r="87" spans="1:6" ht="34">
      <c r="B87" s="288" t="s">
        <v>14</v>
      </c>
      <c r="C87" s="289" t="s">
        <v>580</v>
      </c>
      <c r="D87" s="290" t="s">
        <v>589</v>
      </c>
      <c r="E87" s="293" t="s">
        <v>648</v>
      </c>
      <c r="F87" s="292"/>
    </row>
    <row r="88" spans="1:6">
      <c r="B88" s="288" t="s">
        <v>15</v>
      </c>
      <c r="C88" s="290" t="s">
        <v>605</v>
      </c>
      <c r="D88" s="290" t="s">
        <v>590</v>
      </c>
      <c r="E88" s="293"/>
      <c r="F88" s="292"/>
    </row>
    <row r="89" spans="1:6">
      <c r="B89" s="288" t="s">
        <v>16</v>
      </c>
      <c r="C89" s="290" t="s">
        <v>602</v>
      </c>
      <c r="D89" s="290" t="s">
        <v>591</v>
      </c>
      <c r="E89" s="293" t="s">
        <v>638</v>
      </c>
      <c r="F89" s="292"/>
    </row>
    <row r="90" spans="1:6" ht="34">
      <c r="B90" s="288" t="s">
        <v>17</v>
      </c>
      <c r="C90" s="290" t="s">
        <v>602</v>
      </c>
      <c r="D90" s="290" t="s">
        <v>591</v>
      </c>
      <c r="E90" s="293" t="s">
        <v>639</v>
      </c>
      <c r="F90" s="292"/>
    </row>
    <row r="91" spans="1:6" ht="34">
      <c r="B91" s="288" t="s">
        <v>18</v>
      </c>
      <c r="C91" s="290" t="s">
        <v>603</v>
      </c>
      <c r="D91" s="290" t="s">
        <v>592</v>
      </c>
      <c r="E91" s="293" t="s">
        <v>640</v>
      </c>
      <c r="F91" s="292"/>
    </row>
    <row r="92" spans="1:6" ht="51">
      <c r="A92" s="37"/>
      <c r="B92" s="288" t="s">
        <v>19</v>
      </c>
      <c r="C92" s="290" t="s">
        <v>603</v>
      </c>
      <c r="D92" s="290" t="s">
        <v>592</v>
      </c>
      <c r="E92" s="293" t="s">
        <v>642</v>
      </c>
      <c r="F92" s="291"/>
    </row>
    <row r="93" spans="1:6" ht="51">
      <c r="A93" s="37"/>
      <c r="B93" s="288" t="s">
        <v>20</v>
      </c>
      <c r="C93" s="290" t="s">
        <v>603</v>
      </c>
      <c r="D93" s="290" t="s">
        <v>592</v>
      </c>
      <c r="E93" s="293" t="s">
        <v>641</v>
      </c>
      <c r="F93" s="291"/>
    </row>
    <row r="94" spans="1:6" ht="34">
      <c r="A94" s="37"/>
      <c r="B94" s="288" t="s">
        <v>21</v>
      </c>
      <c r="C94" s="290" t="s">
        <v>603</v>
      </c>
      <c r="D94" s="290" t="s">
        <v>593</v>
      </c>
      <c r="E94" s="316" t="s">
        <v>643</v>
      </c>
      <c r="F94" s="291"/>
    </row>
    <row r="95" spans="1:6" ht="34">
      <c r="A95" s="37"/>
      <c r="B95" s="288" t="s">
        <v>22</v>
      </c>
      <c r="C95" s="290" t="s">
        <v>603</v>
      </c>
      <c r="D95" s="290" t="s">
        <v>593</v>
      </c>
      <c r="E95" s="293" t="s">
        <v>644</v>
      </c>
      <c r="F95" s="291"/>
    </row>
    <row r="96" spans="1:6">
      <c r="B96" s="288" t="s">
        <v>23</v>
      </c>
      <c r="C96" s="289" t="s">
        <v>580</v>
      </c>
      <c r="D96" s="290" t="s">
        <v>594</v>
      </c>
      <c r="E96" s="293"/>
      <c r="F96" s="291"/>
    </row>
    <row r="97" spans="2:6" ht="34">
      <c r="B97" s="288" t="s">
        <v>24</v>
      </c>
      <c r="C97" s="290" t="s">
        <v>579</v>
      </c>
      <c r="D97" s="293" t="s">
        <v>598</v>
      </c>
      <c r="E97" s="293"/>
      <c r="F97" s="290" t="s">
        <v>624</v>
      </c>
    </row>
    <row r="98" spans="2:6">
      <c r="B98" s="288" t="s">
        <v>25</v>
      </c>
      <c r="C98" s="290" t="s">
        <v>604</v>
      </c>
      <c r="D98" s="290" t="s">
        <v>596</v>
      </c>
      <c r="E98" s="293"/>
      <c r="F98" s="290" t="s">
        <v>685</v>
      </c>
    </row>
    <row r="99" spans="2:6">
      <c r="B99" s="288" t="s">
        <v>26</v>
      </c>
      <c r="C99" s="289" t="s">
        <v>580</v>
      </c>
      <c r="D99" s="290" t="s">
        <v>595</v>
      </c>
      <c r="E99" s="293"/>
      <c r="F99" s="291"/>
    </row>
    <row r="100" spans="2:6" ht="17"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65:D67"/>
  </mergeCells>
  <phoneticPr fontId="35"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08203125" defaultRowHeight="17"/>
  <cols>
    <col min="1" max="1" width="20.6640625" style="302" customWidth="1"/>
    <col min="2" max="3" width="6.1640625" style="302" customWidth="1"/>
    <col min="4" max="4" width="6.1640625" style="302" customWidth="1" collapsed="1"/>
    <col min="5" max="7" width="6.1640625" style="302" customWidth="1"/>
    <col min="8" max="9" width="5.58203125" style="302" customWidth="1"/>
    <col min="10" max="10" width="0.6640625" style="303" customWidth="1"/>
    <col min="11" max="12" width="5.58203125" style="302" customWidth="1"/>
    <col min="13" max="16384" width="9.08203125" style="302"/>
  </cols>
  <sheetData>
    <row r="1" spans="1:12" ht="30" customHeight="1">
      <c r="A1" s="446" t="s">
        <v>119</v>
      </c>
      <c r="B1" s="447"/>
      <c r="C1" s="447"/>
      <c r="D1" s="447"/>
      <c r="E1" s="447"/>
      <c r="F1" s="447"/>
      <c r="G1" s="447"/>
      <c r="H1" s="447"/>
      <c r="I1" s="447"/>
      <c r="J1" s="447"/>
      <c r="K1" s="447"/>
      <c r="L1" s="447"/>
    </row>
    <row r="2" spans="1:12">
      <c r="A2" s="448" t="s">
        <v>51</v>
      </c>
      <c r="B2" s="448"/>
      <c r="C2" s="448"/>
      <c r="D2" s="448"/>
      <c r="E2" s="448"/>
      <c r="F2" s="448"/>
      <c r="G2" s="448"/>
      <c r="H2" s="448"/>
      <c r="I2" s="448"/>
      <c r="J2" s="448"/>
      <c r="K2" s="448"/>
      <c r="L2" s="448"/>
    </row>
    <row r="3" spans="1:12" ht="15" customHeight="1">
      <c r="A3" s="39"/>
      <c r="B3" s="40"/>
      <c r="C3" s="40"/>
      <c r="D3" s="40"/>
      <c r="E3" s="40"/>
      <c r="F3" s="40"/>
      <c r="G3" s="40"/>
      <c r="H3" s="449" t="s">
        <v>31</v>
      </c>
      <c r="I3" s="449"/>
      <c r="J3" s="41"/>
      <c r="K3" s="449" t="s">
        <v>32</v>
      </c>
      <c r="L3" s="449"/>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0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0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0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04"/>
      <c r="I36" s="304"/>
      <c r="J36" s="305"/>
      <c r="K36" s="304"/>
      <c r="L36" s="304"/>
    </row>
    <row r="37" spans="1:12">
      <c r="H37" s="304"/>
      <c r="I37" s="304"/>
      <c r="J37" s="305"/>
      <c r="K37" s="304"/>
      <c r="L37" s="304"/>
    </row>
    <row r="38" spans="1:12">
      <c r="H38" s="304"/>
      <c r="I38" s="304"/>
      <c r="J38" s="305"/>
      <c r="K38" s="304"/>
      <c r="L38" s="304"/>
    </row>
    <row r="39" spans="1:12">
      <c r="H39" s="304"/>
      <c r="I39" s="304"/>
      <c r="J39" s="305"/>
      <c r="K39" s="304"/>
      <c r="L39" s="304"/>
    </row>
    <row r="40" spans="1:12">
      <c r="H40" s="304"/>
      <c r="I40" s="304"/>
      <c r="J40" s="305"/>
      <c r="K40" s="304"/>
      <c r="L40" s="304"/>
    </row>
    <row r="41" spans="1:12">
      <c r="H41" s="304"/>
      <c r="I41" s="304"/>
      <c r="J41" s="305"/>
      <c r="K41" s="304"/>
      <c r="L41" s="304"/>
    </row>
    <row r="42" spans="1:12">
      <c r="H42" s="304"/>
      <c r="I42" s="304"/>
      <c r="J42" s="305"/>
      <c r="K42" s="304"/>
      <c r="L42" s="304"/>
    </row>
    <row r="43" spans="1:12">
      <c r="H43" s="304"/>
      <c r="I43" s="304"/>
      <c r="J43" s="305"/>
      <c r="K43" s="304"/>
      <c r="L43" s="304"/>
    </row>
    <row r="44" spans="1:12">
      <c r="H44" s="304"/>
      <c r="I44" s="304"/>
      <c r="J44" s="305"/>
      <c r="K44" s="304"/>
      <c r="L44" s="304"/>
    </row>
    <row r="45" spans="1:12">
      <c r="H45" s="304"/>
      <c r="I45" s="304"/>
      <c r="J45" s="305"/>
      <c r="K45" s="304"/>
      <c r="L45" s="304"/>
    </row>
    <row r="46" spans="1:12">
      <c r="H46" s="304"/>
      <c r="I46" s="304"/>
      <c r="J46" s="305"/>
      <c r="K46" s="304"/>
      <c r="L46" s="304"/>
    </row>
    <row r="47" spans="1:12">
      <c r="H47" s="304"/>
      <c r="I47" s="304"/>
      <c r="J47" s="305"/>
      <c r="K47" s="304"/>
      <c r="L47" s="304"/>
    </row>
    <row r="48" spans="1:12">
      <c r="H48" s="304"/>
      <c r="I48" s="304"/>
      <c r="J48" s="305"/>
      <c r="K48" s="304"/>
      <c r="L48" s="304"/>
    </row>
    <row r="49" spans="8:12">
      <c r="H49" s="304"/>
      <c r="I49" s="304"/>
      <c r="J49" s="305"/>
      <c r="K49" s="304"/>
      <c r="L49" s="304"/>
    </row>
    <row r="50" spans="8:12">
      <c r="H50" s="304"/>
      <c r="I50" s="304"/>
      <c r="J50" s="305"/>
      <c r="K50" s="304"/>
      <c r="L50" s="304"/>
    </row>
    <row r="51" spans="8:12">
      <c r="H51" s="304"/>
      <c r="I51" s="304"/>
      <c r="J51" s="305"/>
      <c r="K51" s="304"/>
      <c r="L51" s="304"/>
    </row>
    <row r="52" spans="8:12">
      <c r="H52" s="304"/>
      <c r="I52" s="304"/>
      <c r="J52" s="305"/>
      <c r="K52" s="304"/>
      <c r="L52" s="304"/>
    </row>
    <row r="53" spans="8:12">
      <c r="H53" s="304"/>
      <c r="I53" s="304"/>
      <c r="J53" s="305"/>
      <c r="K53" s="304"/>
      <c r="L53" s="304"/>
    </row>
    <row r="54" spans="8:12">
      <c r="H54" s="304"/>
      <c r="I54" s="304"/>
      <c r="J54" s="305"/>
      <c r="K54" s="304"/>
      <c r="L54" s="304"/>
    </row>
    <row r="55" spans="8:12">
      <c r="H55" s="304"/>
      <c r="I55" s="304"/>
      <c r="J55" s="305"/>
      <c r="K55" s="304"/>
      <c r="L55" s="304"/>
    </row>
    <row r="56" spans="8:12">
      <c r="H56" s="304"/>
      <c r="I56" s="304"/>
      <c r="J56" s="305"/>
      <c r="K56" s="304"/>
      <c r="L56" s="304"/>
    </row>
    <row r="57" spans="8:12">
      <c r="H57" s="304"/>
      <c r="I57" s="304"/>
      <c r="J57" s="305"/>
      <c r="K57" s="304"/>
      <c r="L57" s="304"/>
    </row>
    <row r="58" spans="8:12">
      <c r="H58" s="304"/>
      <c r="I58" s="304"/>
      <c r="J58" s="305"/>
      <c r="K58" s="304"/>
      <c r="L58" s="304"/>
    </row>
    <row r="59" spans="8:12">
      <c r="H59" s="304"/>
      <c r="I59" s="304"/>
      <c r="J59" s="305"/>
      <c r="K59" s="304"/>
      <c r="L59" s="304"/>
    </row>
    <row r="60" spans="8:12">
      <c r="H60" s="304"/>
      <c r="I60" s="304"/>
      <c r="J60" s="305"/>
      <c r="K60" s="304"/>
      <c r="L60" s="304"/>
    </row>
    <row r="61" spans="8:12">
      <c r="H61" s="304"/>
      <c r="I61" s="304"/>
      <c r="J61" s="305"/>
      <c r="K61" s="304"/>
      <c r="L61" s="304"/>
    </row>
    <row r="62" spans="8:12">
      <c r="H62" s="304"/>
      <c r="I62" s="304"/>
      <c r="J62" s="305"/>
      <c r="K62" s="304"/>
      <c r="L62" s="304"/>
    </row>
    <row r="63" spans="8:12">
      <c r="H63" s="304"/>
      <c r="I63" s="304"/>
      <c r="J63" s="305"/>
      <c r="K63" s="304"/>
      <c r="L63" s="304"/>
    </row>
    <row r="64" spans="8:12">
      <c r="H64" s="304"/>
      <c r="I64" s="304"/>
      <c r="J64" s="305"/>
      <c r="K64" s="304"/>
      <c r="L64" s="304"/>
    </row>
    <row r="65" spans="8:12">
      <c r="H65" s="304"/>
      <c r="I65" s="304"/>
      <c r="J65" s="305"/>
      <c r="K65" s="304"/>
      <c r="L65" s="304"/>
    </row>
    <row r="66" spans="8:12">
      <c r="H66" s="304"/>
      <c r="I66" s="304"/>
      <c r="J66" s="305"/>
      <c r="K66" s="304"/>
      <c r="L66" s="304"/>
    </row>
    <row r="67" spans="8:12">
      <c r="H67" s="304"/>
      <c r="I67" s="304"/>
      <c r="J67" s="305"/>
      <c r="K67" s="304"/>
      <c r="L67" s="304"/>
    </row>
    <row r="68" spans="8:12">
      <c r="H68" s="304"/>
      <c r="I68" s="304"/>
      <c r="J68" s="305"/>
      <c r="K68" s="304"/>
      <c r="L68" s="304"/>
    </row>
    <row r="69" spans="8:12">
      <c r="H69" s="304"/>
      <c r="I69" s="304"/>
      <c r="J69" s="305"/>
      <c r="K69" s="304"/>
      <c r="L69" s="304"/>
    </row>
    <row r="70" spans="8:12">
      <c r="H70" s="304"/>
      <c r="I70" s="304"/>
      <c r="J70" s="305"/>
      <c r="K70" s="304"/>
      <c r="L70" s="304"/>
    </row>
    <row r="71" spans="8:12">
      <c r="H71" s="304"/>
      <c r="I71" s="304"/>
      <c r="J71" s="305"/>
      <c r="K71" s="304"/>
      <c r="L71" s="304"/>
    </row>
    <row r="72" spans="8:12">
      <c r="H72" s="304"/>
      <c r="I72" s="304"/>
      <c r="J72" s="305"/>
      <c r="K72" s="304"/>
      <c r="L72" s="304"/>
    </row>
    <row r="73" spans="8:12">
      <c r="H73" s="304"/>
      <c r="I73" s="304"/>
      <c r="J73" s="305"/>
      <c r="K73" s="304"/>
      <c r="L73" s="304"/>
    </row>
    <row r="74" spans="8:12">
      <c r="H74" s="304"/>
      <c r="I74" s="304"/>
      <c r="J74" s="305"/>
      <c r="K74" s="304"/>
      <c r="L74" s="304"/>
    </row>
    <row r="75" spans="8:12">
      <c r="H75" s="304"/>
      <c r="I75" s="304"/>
      <c r="J75" s="305"/>
      <c r="K75" s="304"/>
      <c r="L75" s="304"/>
    </row>
    <row r="76" spans="8:12">
      <c r="H76" s="304"/>
      <c r="I76" s="304"/>
      <c r="J76" s="305"/>
      <c r="K76" s="304"/>
      <c r="L76" s="304"/>
    </row>
    <row r="77" spans="8:12">
      <c r="H77" s="304"/>
      <c r="I77" s="304"/>
      <c r="J77" s="305"/>
      <c r="K77" s="304"/>
      <c r="L77" s="304"/>
    </row>
    <row r="78" spans="8:12">
      <c r="H78" s="304"/>
      <c r="I78" s="304"/>
      <c r="J78" s="305"/>
      <c r="K78" s="304"/>
      <c r="L78" s="304"/>
    </row>
    <row r="79" spans="8:12">
      <c r="H79" s="304"/>
      <c r="I79" s="304"/>
      <c r="J79" s="305"/>
      <c r="K79" s="304"/>
      <c r="L79" s="304"/>
    </row>
    <row r="80" spans="8:12">
      <c r="H80" s="304"/>
      <c r="I80" s="304"/>
      <c r="J80" s="305"/>
      <c r="K80" s="304"/>
      <c r="L80" s="304"/>
    </row>
    <row r="81" spans="8:12">
      <c r="H81" s="304"/>
      <c r="I81" s="304"/>
      <c r="J81" s="305"/>
      <c r="K81" s="304"/>
      <c r="L81" s="304"/>
    </row>
    <row r="82" spans="8:12">
      <c r="H82" s="304"/>
      <c r="I82" s="304"/>
      <c r="J82" s="305"/>
      <c r="K82" s="304"/>
      <c r="L82" s="304"/>
    </row>
    <row r="83" spans="8:12">
      <c r="H83" s="304"/>
      <c r="I83" s="304"/>
      <c r="J83" s="305"/>
      <c r="K83" s="304"/>
      <c r="L83" s="304"/>
    </row>
    <row r="84" spans="8:12">
      <c r="H84" s="304"/>
      <c r="I84" s="304"/>
      <c r="J84" s="305"/>
      <c r="K84" s="304"/>
      <c r="L84" s="304"/>
    </row>
    <row r="85" spans="8:12">
      <c r="H85" s="304"/>
      <c r="I85" s="304"/>
      <c r="J85" s="305"/>
      <c r="K85" s="304"/>
      <c r="L85" s="304"/>
    </row>
    <row r="86" spans="8:12">
      <c r="H86" s="304"/>
      <c r="I86" s="304"/>
      <c r="J86" s="305"/>
      <c r="K86" s="304"/>
      <c r="L86" s="304"/>
    </row>
    <row r="87" spans="8:12">
      <c r="H87" s="304"/>
      <c r="I87" s="304"/>
      <c r="J87" s="305"/>
      <c r="K87" s="304"/>
      <c r="L87" s="304"/>
    </row>
    <row r="88" spans="8:12">
      <c r="H88" s="304"/>
      <c r="I88" s="304"/>
      <c r="J88" s="305"/>
      <c r="K88" s="304"/>
      <c r="L88" s="304"/>
    </row>
    <row r="89" spans="8:12">
      <c r="H89" s="304"/>
      <c r="I89" s="304"/>
      <c r="J89" s="305"/>
      <c r="K89" s="304"/>
      <c r="L89" s="304"/>
    </row>
    <row r="90" spans="8:12">
      <c r="H90" s="304"/>
      <c r="I90" s="304"/>
      <c r="J90" s="305"/>
      <c r="K90" s="304"/>
      <c r="L90" s="304"/>
    </row>
    <row r="91" spans="8:12">
      <c r="H91" s="304"/>
      <c r="I91" s="304"/>
      <c r="J91" s="305"/>
      <c r="K91" s="304"/>
      <c r="L91" s="304"/>
    </row>
    <row r="92" spans="8:12">
      <c r="H92" s="304"/>
      <c r="I92" s="304"/>
      <c r="J92" s="305"/>
      <c r="K92" s="304"/>
      <c r="L92" s="304"/>
    </row>
    <row r="93" spans="8:12">
      <c r="H93" s="304"/>
      <c r="I93" s="304"/>
      <c r="J93" s="305"/>
      <c r="K93" s="304"/>
      <c r="L93" s="304"/>
    </row>
    <row r="94" spans="8:12">
      <c r="H94" s="304"/>
      <c r="I94" s="304"/>
      <c r="J94" s="305"/>
      <c r="K94" s="304"/>
      <c r="L94" s="304"/>
    </row>
    <row r="95" spans="8:12">
      <c r="H95" s="304"/>
      <c r="I95" s="304"/>
      <c r="J95" s="305"/>
      <c r="K95" s="304"/>
      <c r="L95" s="304"/>
    </row>
  </sheetData>
  <mergeCells count="4">
    <mergeCell ref="A1:L1"/>
    <mergeCell ref="A2:L2"/>
    <mergeCell ref="H3:I3"/>
    <mergeCell ref="K3:L3"/>
  </mergeCells>
  <phoneticPr fontId="3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zoomScale="70" zoomScaleNormal="70" workbookViewId="0">
      <selection activeCell="AI23" sqref="AI23"/>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3" width="4.4140625" style="38" customWidth="1"/>
    <col min="14" max="14" width="20.6640625" style="38" customWidth="1"/>
    <col min="15" max="48" width="6.1640625" style="160" customWidth="1"/>
    <col min="49" max="16384" width="9.08203125" style="38"/>
  </cols>
  <sheetData>
    <row r="2" spans="1:49">
      <c r="A2" s="452" t="s">
        <v>30</v>
      </c>
      <c r="B2" s="453"/>
      <c r="C2" s="453"/>
      <c r="D2" s="453"/>
      <c r="E2" s="453"/>
      <c r="F2" s="453"/>
      <c r="G2" s="453"/>
      <c r="H2" s="453"/>
      <c r="I2" s="453"/>
      <c r="J2" s="453"/>
      <c r="K2" s="453"/>
      <c r="L2" s="453"/>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54" t="s">
        <v>118</v>
      </c>
      <c r="B3" s="454"/>
      <c r="C3" s="454"/>
      <c r="D3" s="454"/>
      <c r="E3" s="454"/>
      <c r="F3" s="454"/>
      <c r="G3" s="454"/>
      <c r="H3" s="454"/>
      <c r="I3" s="454"/>
      <c r="J3" s="454"/>
      <c r="K3" s="454"/>
      <c r="L3" s="454"/>
      <c r="N3" s="163" t="s">
        <v>439</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49" t="s">
        <v>31</v>
      </c>
      <c r="I4" s="449"/>
      <c r="J4" s="41"/>
      <c r="K4" s="449" t="s">
        <v>32</v>
      </c>
      <c r="L4" s="449"/>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448</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442</v>
      </c>
      <c r="B7" s="51">
        <v>35.962000000000003</v>
      </c>
      <c r="C7" s="51">
        <v>71.519000000000005</v>
      </c>
      <c r="D7" s="52">
        <v>81.052000000000007</v>
      </c>
      <c r="E7" s="52">
        <v>84.32</v>
      </c>
      <c r="F7" s="52">
        <v>86.070999999999998</v>
      </c>
      <c r="G7" s="52">
        <v>87.108999999999995</v>
      </c>
      <c r="H7" s="53">
        <v>100</v>
      </c>
      <c r="I7" s="53">
        <v>100</v>
      </c>
      <c r="J7" s="54"/>
      <c r="K7" s="55">
        <v>3.89</v>
      </c>
      <c r="L7" s="55">
        <v>0.9</v>
      </c>
      <c r="N7" s="50" t="s">
        <v>442</v>
      </c>
      <c r="O7" s="159">
        <f>B7*$A$44</f>
        <v>1426133105764220.3</v>
      </c>
      <c r="P7" s="159">
        <f t="shared" ref="P7:P40" si="0">C7*$A$44</f>
        <v>2836205260862890</v>
      </c>
      <c r="Q7" s="161">
        <f>SUM(Q8:Q12)</f>
        <v>2892446922669067.5</v>
      </c>
      <c r="R7" s="161">
        <v>2837044297264079.5</v>
      </c>
      <c r="S7" s="161">
        <v>2912485893783687.5</v>
      </c>
      <c r="T7" s="161">
        <v>2987927490303296</v>
      </c>
      <c r="U7" s="161">
        <v>3063369086822904</v>
      </c>
      <c r="V7" s="161">
        <v>3138810683342512</v>
      </c>
      <c r="W7" s="161">
        <v>3214252279862120.5</v>
      </c>
      <c r="X7" s="161">
        <v>3240171878269544</v>
      </c>
      <c r="Y7" s="161">
        <v>3266091476676960</v>
      </c>
      <c r="Z7" s="161">
        <v>3292011075084376</v>
      </c>
      <c r="AA7" s="161">
        <v>3317930673491792</v>
      </c>
      <c r="AB7" s="161">
        <v>3343850271899199.5</v>
      </c>
      <c r="AC7" s="161">
        <v>3357738037141360</v>
      </c>
      <c r="AD7" s="161">
        <v>3371625802383524</v>
      </c>
      <c r="AE7" s="161">
        <v>3385513567625684</v>
      </c>
      <c r="AF7" s="161">
        <v>3399401332867848</v>
      </c>
      <c r="AG7" s="161">
        <v>3413289098110010</v>
      </c>
      <c r="AH7" s="161">
        <v>3421521822451166</v>
      </c>
      <c r="AI7" s="161">
        <v>3429754546792322</v>
      </c>
      <c r="AJ7" s="161">
        <v>3437987271133478</v>
      </c>
      <c r="AK7" s="161">
        <v>3446219995474634</v>
      </c>
      <c r="AL7" s="161">
        <v>3454452719815790</v>
      </c>
      <c r="AM7" s="161">
        <v>3470225498691620</v>
      </c>
      <c r="AN7" s="161">
        <v>3480857331293808</v>
      </c>
      <c r="AO7" s="161">
        <v>3491489163896000</v>
      </c>
      <c r="AP7" s="161">
        <v>3502120996498188</v>
      </c>
      <c r="AQ7" s="161">
        <v>3512752829100376</v>
      </c>
      <c r="AR7" s="161">
        <v>3523384661702564</v>
      </c>
      <c r="AS7" s="161">
        <v>3534016494304756</v>
      </c>
      <c r="AT7" s="161">
        <v>3544648326906944</v>
      </c>
      <c r="AU7" s="161">
        <v>3555280159509132</v>
      </c>
      <c r="AV7" s="161">
        <v>3565911992111324</v>
      </c>
      <c r="AW7" s="184">
        <f>(AV7/R7)^(1/30)-1</f>
        <v>7.6510229549342501E-3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ref="O8:O40" si="1">B8*$A$44</f>
        <v>10826270448630</v>
      </c>
      <c r="P8" s="159">
        <f t="shared" si="0"/>
        <v>8684810359890</v>
      </c>
      <c r="Q8" s="161">
        <f>P8*P$73</f>
        <v>8604864684595.3535</v>
      </c>
      <c r="R8" s="161">
        <v>8189147173063.1895</v>
      </c>
      <c r="S8" s="161">
        <v>8613464490570.5508</v>
      </c>
      <c r="T8" s="161">
        <v>9037781808077.9141</v>
      </c>
      <c r="U8" s="161">
        <v>9462099125585.2754</v>
      </c>
      <c r="V8" s="161">
        <v>9886416443092.6367</v>
      </c>
      <c r="W8" s="161">
        <v>10310733760600</v>
      </c>
      <c r="X8" s="161">
        <v>10516948435812</v>
      </c>
      <c r="Y8" s="161">
        <v>10723163111024</v>
      </c>
      <c r="Z8" s="161">
        <v>10929377786236</v>
      </c>
      <c r="AA8" s="161">
        <v>11135592461448</v>
      </c>
      <c r="AB8" s="161">
        <v>11341807136660</v>
      </c>
      <c r="AC8" s="161">
        <v>11444914474266</v>
      </c>
      <c r="AD8" s="161">
        <v>11548021811872</v>
      </c>
      <c r="AE8" s="161">
        <v>11651129149478</v>
      </c>
      <c r="AF8" s="161">
        <v>11754236487084</v>
      </c>
      <c r="AG8" s="161">
        <v>11857343824690</v>
      </c>
      <c r="AH8" s="161">
        <v>11889069159338</v>
      </c>
      <c r="AI8" s="161">
        <v>11920794493986</v>
      </c>
      <c r="AJ8" s="161">
        <v>11952519828634</v>
      </c>
      <c r="AK8" s="161">
        <v>11984245163282</v>
      </c>
      <c r="AL8" s="161">
        <v>12015970497930</v>
      </c>
      <c r="AM8" s="161">
        <v>12142871836522</v>
      </c>
      <c r="AN8" s="161">
        <v>12204880445152.172</v>
      </c>
      <c r="AO8" s="161">
        <v>12266889053782.359</v>
      </c>
      <c r="AP8" s="161">
        <v>12328897662412.531</v>
      </c>
      <c r="AQ8" s="161">
        <v>12390906271042.719</v>
      </c>
      <c r="AR8" s="161">
        <v>12452914879672.906</v>
      </c>
      <c r="AS8" s="161">
        <v>12514923488303.078</v>
      </c>
      <c r="AT8" s="161">
        <v>12576932096933.266</v>
      </c>
      <c r="AU8" s="161">
        <v>12638940705563.453</v>
      </c>
      <c r="AV8" s="161">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si="1"/>
        <v>1310930484323670</v>
      </c>
      <c r="P9" s="159">
        <f t="shared" si="0"/>
        <v>2470134555693280</v>
      </c>
      <c r="Q9" s="161">
        <f>P9*P$74</f>
        <v>2467354036804733</v>
      </c>
      <c r="R9" s="161">
        <v>2370035875705594</v>
      </c>
      <c r="S9" s="161">
        <v>2447748132760519</v>
      </c>
      <c r="T9" s="161">
        <v>2525460389815444.5</v>
      </c>
      <c r="U9" s="161">
        <v>2603172646870369.5</v>
      </c>
      <c r="V9" s="161">
        <v>2680884903925295</v>
      </c>
      <c r="W9" s="161">
        <v>2758597160980220</v>
      </c>
      <c r="X9" s="161">
        <v>2774594660976476</v>
      </c>
      <c r="Y9" s="161">
        <v>2790592160972728</v>
      </c>
      <c r="Z9" s="161">
        <v>2806589660968984</v>
      </c>
      <c r="AA9" s="161">
        <v>2822587160965236</v>
      </c>
      <c r="AB9" s="161">
        <v>2838584660961489.5</v>
      </c>
      <c r="AC9" s="161">
        <v>2845476989913766</v>
      </c>
      <c r="AD9" s="161">
        <v>2852369318866044</v>
      </c>
      <c r="AE9" s="161">
        <v>2859261647818322</v>
      </c>
      <c r="AF9" s="161">
        <v>2866153976770600</v>
      </c>
      <c r="AG9" s="161">
        <v>2873046305722879.5</v>
      </c>
      <c r="AH9" s="161">
        <v>2875965036510496</v>
      </c>
      <c r="AI9" s="161">
        <v>2878883767298112</v>
      </c>
      <c r="AJ9" s="161">
        <v>2881802498085728</v>
      </c>
      <c r="AK9" s="161">
        <v>2884721228873344</v>
      </c>
      <c r="AL9" s="161">
        <v>2887639959660960</v>
      </c>
      <c r="AM9" s="161">
        <v>2895856821334793</v>
      </c>
      <c r="AN9" s="161">
        <v>2900461321040751</v>
      </c>
      <c r="AO9" s="161">
        <v>2905065820746709</v>
      </c>
      <c r="AP9" s="161">
        <v>2909670320452667</v>
      </c>
      <c r="AQ9" s="161">
        <v>2914274820158623</v>
      </c>
      <c r="AR9" s="161">
        <v>2918879319864581</v>
      </c>
      <c r="AS9" s="161">
        <v>2923483819570539</v>
      </c>
      <c r="AT9" s="161">
        <v>2928088319276497</v>
      </c>
      <c r="AU9" s="161">
        <v>2932692818982455</v>
      </c>
      <c r="AV9" s="161">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si="1"/>
        <v>12650477190890</v>
      </c>
      <c r="P10" s="159">
        <f t="shared" si="0"/>
        <v>144865809336430</v>
      </c>
      <c r="Q10" s="161">
        <f>P10*P$75</f>
        <v>206920692334812.41</v>
      </c>
      <c r="R10" s="161">
        <v>255967507075802</v>
      </c>
      <c r="S10" s="161">
        <v>241226415171193.59</v>
      </c>
      <c r="T10" s="161">
        <v>226485323266585.22</v>
      </c>
      <c r="U10" s="161">
        <v>211744231361976.81</v>
      </c>
      <c r="V10" s="161">
        <v>197003139457368.44</v>
      </c>
      <c r="W10" s="161">
        <v>182262047552760</v>
      </c>
      <c r="X10" s="161">
        <v>186307027720380</v>
      </c>
      <c r="Y10" s="161">
        <v>190352007888000</v>
      </c>
      <c r="Z10" s="161">
        <v>194396988055620</v>
      </c>
      <c r="AA10" s="161">
        <v>198441968223240</v>
      </c>
      <c r="AB10" s="161">
        <v>202486948390860</v>
      </c>
      <c r="AC10" s="161">
        <v>204374605802416</v>
      </c>
      <c r="AD10" s="161">
        <v>206262263213972</v>
      </c>
      <c r="AE10" s="161">
        <v>208149920625528</v>
      </c>
      <c r="AF10" s="161">
        <v>210037578037084</v>
      </c>
      <c r="AG10" s="161">
        <v>211925235448640</v>
      </c>
      <c r="AH10" s="161">
        <v>212496291472304</v>
      </c>
      <c r="AI10" s="161">
        <v>213067347495968</v>
      </c>
      <c r="AJ10" s="161">
        <v>213638403519632</v>
      </c>
      <c r="AK10" s="161">
        <v>214209459543296</v>
      </c>
      <c r="AL10" s="161">
        <v>214780515566960</v>
      </c>
      <c r="AM10" s="161">
        <v>217107040107813.5</v>
      </c>
      <c r="AN10" s="161">
        <v>218236654296037.5</v>
      </c>
      <c r="AO10" s="161">
        <v>219366268484262</v>
      </c>
      <c r="AP10" s="161">
        <v>220495882672486</v>
      </c>
      <c r="AQ10" s="161">
        <v>221625496860710.5</v>
      </c>
      <c r="AR10" s="161">
        <v>222755111048934.5</v>
      </c>
      <c r="AS10" s="161">
        <v>223884725237159</v>
      </c>
      <c r="AT10" s="161">
        <v>225014339425383</v>
      </c>
      <c r="AU10" s="161">
        <v>226143953613607</v>
      </c>
      <c r="AV10" s="161">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si="1"/>
        <v>91725873801030</v>
      </c>
      <c r="P11" s="159">
        <f t="shared" si="0"/>
        <v>212520085473290</v>
      </c>
      <c r="Q11" s="161">
        <f>P11*P$77</f>
        <v>209567328844926.31</v>
      </c>
      <c r="R11" s="161">
        <v>202851767309621.31</v>
      </c>
      <c r="S11" s="161">
        <v>214889950027743.03</v>
      </c>
      <c r="T11" s="161">
        <v>226928132745864.78</v>
      </c>
      <c r="U11" s="161">
        <v>238966315463986.5</v>
      </c>
      <c r="V11" s="161">
        <v>251004498182108.25</v>
      </c>
      <c r="W11" s="161">
        <v>263042680900230</v>
      </c>
      <c r="X11" s="161">
        <v>268713584468558</v>
      </c>
      <c r="Y11" s="161">
        <v>274384488036888</v>
      </c>
      <c r="Z11" s="161">
        <v>280055391605218</v>
      </c>
      <c r="AA11" s="161">
        <v>285726295173548</v>
      </c>
      <c r="AB11" s="161">
        <v>291397198741880</v>
      </c>
      <c r="AC11" s="161">
        <v>296409801616264</v>
      </c>
      <c r="AD11" s="161">
        <v>301422404490648</v>
      </c>
      <c r="AE11" s="161">
        <v>306435007365032</v>
      </c>
      <c r="AF11" s="161">
        <v>311447610239416</v>
      </c>
      <c r="AG11" s="161">
        <v>316460213113800</v>
      </c>
      <c r="AH11" s="161">
        <v>321179356642688</v>
      </c>
      <c r="AI11" s="161">
        <v>325898500171578</v>
      </c>
      <c r="AJ11" s="161">
        <v>330617643700468</v>
      </c>
      <c r="AK11" s="161">
        <v>335336787229358</v>
      </c>
      <c r="AL11" s="161">
        <v>340055930758250</v>
      </c>
      <c r="AM11" s="161">
        <v>345166353414462</v>
      </c>
      <c r="AN11" s="161">
        <v>350009994847502</v>
      </c>
      <c r="AO11" s="161">
        <v>354853636280540</v>
      </c>
      <c r="AP11" s="161">
        <v>359697277713578</v>
      </c>
      <c r="AQ11" s="161">
        <v>364540919146618</v>
      </c>
      <c r="AR11" s="161">
        <v>369384560579656</v>
      </c>
      <c r="AS11" s="161">
        <v>374228202012696</v>
      </c>
      <c r="AT11" s="161">
        <v>379071843445734</v>
      </c>
      <c r="AU11" s="161">
        <v>383915484878772</v>
      </c>
      <c r="AV11" s="161">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 t="shared" si="1"/>
        <v>0</v>
      </c>
      <c r="P12" s="159">
        <f t="shared" si="0"/>
        <v>0</v>
      </c>
      <c r="Q12" s="161">
        <f>P12*P$78</f>
        <v>0</v>
      </c>
      <c r="R12" s="161">
        <v>0</v>
      </c>
      <c r="S12" s="161">
        <v>0</v>
      </c>
      <c r="T12" s="161">
        <v>0</v>
      </c>
      <c r="U12" s="161">
        <v>0</v>
      </c>
      <c r="V12" s="161">
        <v>0</v>
      </c>
      <c r="W12" s="161">
        <v>0</v>
      </c>
      <c r="X12" s="161">
        <v>0</v>
      </c>
      <c r="Y12" s="161">
        <v>0</v>
      </c>
      <c r="Z12" s="161">
        <v>0</v>
      </c>
      <c r="AA12" s="161">
        <v>0</v>
      </c>
      <c r="AB12" s="161">
        <v>0</v>
      </c>
      <c r="AC12" s="161">
        <v>0</v>
      </c>
      <c r="AD12" s="161">
        <v>0</v>
      </c>
      <c r="AE12" s="161">
        <v>0</v>
      </c>
      <c r="AF12" s="161">
        <v>0</v>
      </c>
      <c r="AG12" s="161">
        <v>0</v>
      </c>
      <c r="AH12" s="161">
        <v>0</v>
      </c>
      <c r="AI12" s="161">
        <v>0</v>
      </c>
      <c r="AJ12" s="161">
        <v>0</v>
      </c>
      <c r="AK12" s="161">
        <v>0</v>
      </c>
      <c r="AL12" s="161">
        <v>0</v>
      </c>
      <c r="AM12" s="173">
        <v>0</v>
      </c>
      <c r="AN12" s="173">
        <v>0</v>
      </c>
      <c r="AO12" s="173">
        <v>0</v>
      </c>
      <c r="AP12" s="173">
        <v>0</v>
      </c>
      <c r="AQ12" s="173">
        <v>0</v>
      </c>
      <c r="AR12" s="173">
        <v>0</v>
      </c>
      <c r="AS12" s="173">
        <v>0</v>
      </c>
      <c r="AT12" s="173">
        <v>0</v>
      </c>
      <c r="AU12" s="173">
        <v>0</v>
      </c>
      <c r="AV12" s="173">
        <v>0</v>
      </c>
      <c r="AW12" s="181"/>
    </row>
    <row r="13" spans="1:49" s="63" customFormat="1" ht="3" customHeight="1">
      <c r="A13" s="58"/>
      <c r="B13" s="59"/>
      <c r="C13" s="59"/>
      <c r="D13" s="60"/>
      <c r="E13" s="60"/>
      <c r="F13" s="60"/>
      <c r="G13" s="60"/>
      <c r="H13" s="61"/>
      <c r="I13" s="61"/>
      <c r="J13" s="61"/>
      <c r="K13" s="62"/>
      <c r="L13" s="62"/>
      <c r="N13" s="58"/>
      <c r="O13" s="159">
        <f t="shared" si="1"/>
        <v>0</v>
      </c>
      <c r="P13" s="159">
        <f t="shared" si="0"/>
        <v>0</v>
      </c>
      <c r="Q13" s="161"/>
      <c r="R13" s="161">
        <v>-5</v>
      </c>
      <c r="S13" s="161">
        <v>-4</v>
      </c>
      <c r="T13" s="161">
        <v>-3</v>
      </c>
      <c r="U13" s="161">
        <v>-2</v>
      </c>
      <c r="V13" s="161">
        <v>-1</v>
      </c>
      <c r="W13" s="161">
        <v>0</v>
      </c>
      <c r="X13" s="161"/>
      <c r="Y13" s="161"/>
      <c r="Z13" s="161"/>
      <c r="AA13" s="161"/>
      <c r="AB13" s="161">
        <v>0</v>
      </c>
      <c r="AC13" s="161"/>
      <c r="AD13" s="161"/>
      <c r="AE13" s="161"/>
      <c r="AF13" s="161"/>
      <c r="AG13" s="161">
        <v>0</v>
      </c>
      <c r="AH13" s="161"/>
      <c r="AI13" s="161"/>
      <c r="AJ13" s="161"/>
      <c r="AK13" s="161"/>
      <c r="AL13" s="161">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 t="shared" si="1"/>
        <v>225606786015590</v>
      </c>
      <c r="P14" s="159">
        <f t="shared" si="0"/>
        <v>171356463767510</v>
      </c>
      <c r="Q14" s="161">
        <f>SUM(Q15:Q19)</f>
        <v>179286945435216.31</v>
      </c>
      <c r="R14" s="161">
        <v>180318803281272.25</v>
      </c>
      <c r="S14" s="161">
        <v>179977769438665.81</v>
      </c>
      <c r="T14" s="161">
        <v>179636735596059.34</v>
      </c>
      <c r="U14" s="161">
        <v>179295701753452.91</v>
      </c>
      <c r="V14" s="161">
        <v>178954667910846.44</v>
      </c>
      <c r="W14" s="161">
        <v>178613634068239.97</v>
      </c>
      <c r="X14" s="161">
        <v>178550183398944</v>
      </c>
      <c r="Y14" s="161">
        <v>178486732729648</v>
      </c>
      <c r="Z14" s="161">
        <v>178423282060352</v>
      </c>
      <c r="AA14" s="161">
        <v>178359831391056.03</v>
      </c>
      <c r="AB14" s="161">
        <v>178296380721760.03</v>
      </c>
      <c r="AC14" s="161">
        <v>177963264707956</v>
      </c>
      <c r="AD14" s="161">
        <v>177630148694152</v>
      </c>
      <c r="AE14" s="161">
        <v>177297032680348</v>
      </c>
      <c r="AF14" s="161">
        <v>176963916666544</v>
      </c>
      <c r="AG14" s="161">
        <v>176630800652740</v>
      </c>
      <c r="AH14" s="161">
        <v>176440448644851.94</v>
      </c>
      <c r="AI14" s="161">
        <v>176250096636963.94</v>
      </c>
      <c r="AJ14" s="161">
        <v>176059744629075.94</v>
      </c>
      <c r="AK14" s="161">
        <v>175869392621187.94</v>
      </c>
      <c r="AL14" s="161">
        <v>175679040613300</v>
      </c>
      <c r="AM14" s="161">
        <v>175298336597523.94</v>
      </c>
      <c r="AN14" s="161">
        <v>175047418041671.56</v>
      </c>
      <c r="AO14" s="161">
        <v>174796499485819.25</v>
      </c>
      <c r="AP14" s="161">
        <v>174545580929966.88</v>
      </c>
      <c r="AQ14" s="161">
        <v>174294662374114.5</v>
      </c>
      <c r="AR14" s="161">
        <v>174043743818262.13</v>
      </c>
      <c r="AS14" s="161">
        <v>173792825262409.75</v>
      </c>
      <c r="AT14" s="161">
        <v>173541906706557.38</v>
      </c>
      <c r="AU14" s="161">
        <v>173290988150705</v>
      </c>
      <c r="AV14" s="161">
        <v>173040069594852.63</v>
      </c>
      <c r="AW14" s="184">
        <f>(AV14/R14)^(1/30)-1</f>
        <v>-1.3724982547810294E-3</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si="1"/>
        <v>139948382465990</v>
      </c>
      <c r="P15" s="159">
        <f t="shared" si="0"/>
        <v>87086043608760</v>
      </c>
      <c r="Q15" s="161">
        <f>P15*P$73</f>
        <v>86284396563339.703</v>
      </c>
      <c r="R15" s="161">
        <v>82115831927154.188</v>
      </c>
      <c r="S15" s="161">
        <v>82856071586291.344</v>
      </c>
      <c r="T15" s="161">
        <v>83596311245428.516</v>
      </c>
      <c r="U15" s="161">
        <v>84336550904565.672</v>
      </c>
      <c r="V15" s="161">
        <v>85076790563702.844</v>
      </c>
      <c r="W15" s="161">
        <v>85817030222840</v>
      </c>
      <c r="X15" s="161">
        <v>85158729528894</v>
      </c>
      <c r="Y15" s="161">
        <v>84500428834948</v>
      </c>
      <c r="Z15" s="161">
        <v>83842128141002</v>
      </c>
      <c r="AA15" s="161">
        <v>83183827447056</v>
      </c>
      <c r="AB15" s="161">
        <v>82525526753110</v>
      </c>
      <c r="AC15" s="161">
        <v>81827569390854</v>
      </c>
      <c r="AD15" s="161">
        <v>81129612028598</v>
      </c>
      <c r="AE15" s="161">
        <v>80431654666342</v>
      </c>
      <c r="AF15" s="161">
        <v>79733697304086</v>
      </c>
      <c r="AG15" s="161">
        <v>79035739941830</v>
      </c>
      <c r="AH15" s="161">
        <v>78456752584504</v>
      </c>
      <c r="AI15" s="161">
        <v>77877765227178</v>
      </c>
      <c r="AJ15" s="161">
        <v>77298777869852</v>
      </c>
      <c r="AK15" s="161">
        <v>76719790512526</v>
      </c>
      <c r="AL15" s="161">
        <v>76140803155200</v>
      </c>
      <c r="AM15" s="161">
        <v>75403189124634</v>
      </c>
      <c r="AN15" s="161">
        <v>74773729644004.25</v>
      </c>
      <c r="AO15" s="161">
        <v>74144270163374.75</v>
      </c>
      <c r="AP15" s="161">
        <v>73514810682745</v>
      </c>
      <c r="AQ15" s="161">
        <v>72885351202115.5</v>
      </c>
      <c r="AR15" s="161">
        <v>72255891721485.75</v>
      </c>
      <c r="AS15" s="161">
        <v>71626432240856.25</v>
      </c>
      <c r="AT15" s="161">
        <v>70996972760226.5</v>
      </c>
      <c r="AU15" s="161">
        <v>70367513279596.75</v>
      </c>
      <c r="AV15" s="161">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si="1"/>
        <v>45049975200159.992</v>
      </c>
      <c r="P16" s="159">
        <f t="shared" si="0"/>
        <v>21176660877540</v>
      </c>
      <c r="Q16" s="161">
        <f>P16*P$74</f>
        <v>21152823266981.238</v>
      </c>
      <c r="R16" s="161">
        <v>20318506897424.656</v>
      </c>
      <c r="S16" s="161">
        <v>20609107698377.723</v>
      </c>
      <c r="T16" s="161">
        <v>20899708499330.793</v>
      </c>
      <c r="U16" s="161">
        <v>21190309300283.859</v>
      </c>
      <c r="V16" s="161">
        <v>21480910101236.93</v>
      </c>
      <c r="W16" s="161">
        <v>21771510902190</v>
      </c>
      <c r="X16" s="161">
        <v>21763579568528</v>
      </c>
      <c r="Y16" s="161">
        <v>21755648234866</v>
      </c>
      <c r="Z16" s="161">
        <v>21747716901204</v>
      </c>
      <c r="AA16" s="161">
        <v>21739785567542</v>
      </c>
      <c r="AB16" s="161">
        <v>21731854233880</v>
      </c>
      <c r="AC16" s="161">
        <v>21684266231908</v>
      </c>
      <c r="AD16" s="161">
        <v>21636678229936</v>
      </c>
      <c r="AE16" s="161">
        <v>21589090227964</v>
      </c>
      <c r="AF16" s="161">
        <v>21541502225992</v>
      </c>
      <c r="AG16" s="161">
        <v>21493914224020</v>
      </c>
      <c r="AH16" s="161">
        <v>21493914224020</v>
      </c>
      <c r="AI16" s="161">
        <v>21493914224020</v>
      </c>
      <c r="AJ16" s="161">
        <v>21493914224020</v>
      </c>
      <c r="AK16" s="161">
        <v>21493914224020</v>
      </c>
      <c r="AL16" s="161">
        <v>21493914224020</v>
      </c>
      <c r="AM16" s="161">
        <v>21430463554724</v>
      </c>
      <c r="AN16" s="161">
        <v>21410274705402.547</v>
      </c>
      <c r="AO16" s="161">
        <v>21390085856081.094</v>
      </c>
      <c r="AP16" s="161">
        <v>21369897006759.641</v>
      </c>
      <c r="AQ16" s="161">
        <v>21349708157438.188</v>
      </c>
      <c r="AR16" s="161">
        <v>21329519308116.727</v>
      </c>
      <c r="AS16" s="161">
        <v>21309330458795.273</v>
      </c>
      <c r="AT16" s="161">
        <v>21289141609473.82</v>
      </c>
      <c r="AU16" s="161">
        <v>21268952760152.367</v>
      </c>
      <c r="AV16" s="161">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si="1"/>
        <v>9993480414120</v>
      </c>
      <c r="P17" s="159">
        <f t="shared" si="0"/>
        <v>21692197565570</v>
      </c>
      <c r="Q17" s="161">
        <f>P17*P$75</f>
        <v>30984292008525.156</v>
      </c>
      <c r="R17" s="161">
        <v>38328559094022.359</v>
      </c>
      <c r="S17" s="161">
        <v>35683381483263.883</v>
      </c>
      <c r="T17" s="161">
        <v>33038203872505.414</v>
      </c>
      <c r="U17" s="161">
        <v>30393026261746.941</v>
      </c>
      <c r="V17" s="161">
        <v>27747848650988.469</v>
      </c>
      <c r="W17" s="161">
        <v>25102671040230</v>
      </c>
      <c r="X17" s="161">
        <v>25356473717414</v>
      </c>
      <c r="Y17" s="161">
        <v>25610276394598</v>
      </c>
      <c r="Z17" s="161">
        <v>25864079071782</v>
      </c>
      <c r="AA17" s="161">
        <v>26117881748966</v>
      </c>
      <c r="AB17" s="161">
        <v>26371684426150</v>
      </c>
      <c r="AC17" s="161">
        <v>26514448432066</v>
      </c>
      <c r="AD17" s="161">
        <v>26657212437982</v>
      </c>
      <c r="AE17" s="161">
        <v>26799976443898</v>
      </c>
      <c r="AF17" s="161">
        <v>26942740449814</v>
      </c>
      <c r="AG17" s="161">
        <v>27085504455730.004</v>
      </c>
      <c r="AH17" s="161">
        <v>27148955125026</v>
      </c>
      <c r="AI17" s="161">
        <v>27212405794322</v>
      </c>
      <c r="AJ17" s="161">
        <v>27275856463618</v>
      </c>
      <c r="AK17" s="161">
        <v>27339307132914</v>
      </c>
      <c r="AL17" s="161">
        <v>27402757802209.996</v>
      </c>
      <c r="AM17" s="161">
        <v>27571959586999.344</v>
      </c>
      <c r="AN17" s="161">
        <v>27669058338497.781</v>
      </c>
      <c r="AO17" s="161">
        <v>27766157089996.188</v>
      </c>
      <c r="AP17" s="161">
        <v>27863255841494.625</v>
      </c>
      <c r="AQ17" s="161">
        <v>27960354592993.031</v>
      </c>
      <c r="AR17" s="161">
        <v>28057453344491.469</v>
      </c>
      <c r="AS17" s="161">
        <v>28154552095989.875</v>
      </c>
      <c r="AT17" s="161">
        <v>28251650847488.313</v>
      </c>
      <c r="AU17" s="161">
        <v>28348749598986.75</v>
      </c>
      <c r="AV17" s="161">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si="1"/>
        <v>30614947935320</v>
      </c>
      <c r="P18" s="159">
        <f t="shared" si="0"/>
        <v>41441218383950</v>
      </c>
      <c r="Q18" s="161">
        <f>P18*P$77</f>
        <v>40865433596370.219</v>
      </c>
      <c r="R18" s="161">
        <v>39555905362671.078</v>
      </c>
      <c r="S18" s="161">
        <v>40821277337070.867</v>
      </c>
      <c r="T18" s="161">
        <v>42086649311470.648</v>
      </c>
      <c r="U18" s="161">
        <v>43352021285870.438</v>
      </c>
      <c r="V18" s="161">
        <v>44617393260270.219</v>
      </c>
      <c r="W18" s="161">
        <v>45882765234670</v>
      </c>
      <c r="X18" s="161">
        <v>46231743915798</v>
      </c>
      <c r="Y18" s="161">
        <v>46580722596926</v>
      </c>
      <c r="Z18" s="161">
        <v>46929701278054</v>
      </c>
      <c r="AA18" s="161">
        <v>47278679959182</v>
      </c>
      <c r="AB18" s="161">
        <v>47627658640310</v>
      </c>
      <c r="AC18" s="161">
        <v>47913186652142</v>
      </c>
      <c r="AD18" s="161">
        <v>48198714663974</v>
      </c>
      <c r="AE18" s="161">
        <v>48484242675806</v>
      </c>
      <c r="AF18" s="161">
        <v>48769770687638</v>
      </c>
      <c r="AG18" s="161">
        <v>49055298699470.008</v>
      </c>
      <c r="AH18" s="161">
        <v>49364620712288</v>
      </c>
      <c r="AI18" s="161">
        <v>49673942725106</v>
      </c>
      <c r="AJ18" s="161">
        <v>49983264737924</v>
      </c>
      <c r="AK18" s="161">
        <v>50292586750742</v>
      </c>
      <c r="AL18" s="161">
        <v>50601908763560</v>
      </c>
      <c r="AM18" s="161">
        <v>50879505441730</v>
      </c>
      <c r="AN18" s="161">
        <v>51178733029887.25</v>
      </c>
      <c r="AO18" s="161">
        <v>51477960618044.5</v>
      </c>
      <c r="AP18" s="161">
        <v>51777188206201.75</v>
      </c>
      <c r="AQ18" s="161">
        <v>52076415794359</v>
      </c>
      <c r="AR18" s="161">
        <v>52375643382516.375</v>
      </c>
      <c r="AS18" s="161">
        <v>52674870970673.625</v>
      </c>
      <c r="AT18" s="161">
        <v>52974098558830.875</v>
      </c>
      <c r="AU18" s="161">
        <v>53273326146988.125</v>
      </c>
      <c r="AV18" s="161">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 t="shared" si="1"/>
        <v>0</v>
      </c>
      <c r="P19" s="159">
        <f t="shared" si="0"/>
        <v>0</v>
      </c>
      <c r="Q19" s="161">
        <f>P19*P$78</f>
        <v>0</v>
      </c>
      <c r="R19" s="161">
        <v>0</v>
      </c>
      <c r="S19" s="161">
        <v>0</v>
      </c>
      <c r="T19" s="161">
        <v>0</v>
      </c>
      <c r="U19" s="161">
        <v>0</v>
      </c>
      <c r="V19" s="161">
        <v>0</v>
      </c>
      <c r="W19" s="161">
        <v>0</v>
      </c>
      <c r="X19" s="161">
        <v>0</v>
      </c>
      <c r="Y19" s="161">
        <v>0</v>
      </c>
      <c r="Z19" s="161">
        <v>0</v>
      </c>
      <c r="AA19" s="161">
        <v>0</v>
      </c>
      <c r="AB19" s="161">
        <v>0</v>
      </c>
      <c r="AC19" s="161">
        <v>0</v>
      </c>
      <c r="AD19" s="161">
        <v>0</v>
      </c>
      <c r="AE19" s="161">
        <v>0</v>
      </c>
      <c r="AF19" s="161">
        <v>0</v>
      </c>
      <c r="AG19" s="161">
        <v>0</v>
      </c>
      <c r="AH19" s="161">
        <v>0</v>
      </c>
      <c r="AI19" s="161">
        <v>0</v>
      </c>
      <c r="AJ19" s="161">
        <v>0</v>
      </c>
      <c r="AK19" s="161">
        <v>0</v>
      </c>
      <c r="AL19" s="161">
        <v>0</v>
      </c>
      <c r="AM19" s="173">
        <v>0</v>
      </c>
      <c r="AN19" s="173">
        <v>0</v>
      </c>
      <c r="AO19" s="173">
        <v>0</v>
      </c>
      <c r="AP19" s="173">
        <v>0</v>
      </c>
      <c r="AQ19" s="173">
        <v>0</v>
      </c>
      <c r="AR19" s="173">
        <v>0</v>
      </c>
      <c r="AS19" s="173">
        <v>0</v>
      </c>
      <c r="AT19" s="173">
        <v>0</v>
      </c>
      <c r="AU19" s="173">
        <v>0</v>
      </c>
      <c r="AV19" s="173">
        <v>0</v>
      </c>
      <c r="AW19" s="181"/>
    </row>
    <row r="20" spans="1:49" s="63" customFormat="1" ht="3" customHeight="1">
      <c r="A20" s="58"/>
      <c r="B20" s="59"/>
      <c r="C20" s="59"/>
      <c r="D20" s="60"/>
      <c r="E20" s="60"/>
      <c r="F20" s="60"/>
      <c r="G20" s="60"/>
      <c r="H20" s="61"/>
      <c r="I20" s="61"/>
      <c r="J20" s="61"/>
      <c r="K20" s="62"/>
      <c r="L20" s="62"/>
      <c r="N20" s="58"/>
      <c r="O20" s="159">
        <f t="shared" si="1"/>
        <v>0</v>
      </c>
      <c r="P20" s="159">
        <f t="shared" si="0"/>
        <v>0</v>
      </c>
      <c r="Q20" s="161"/>
      <c r="R20" s="161">
        <v>-5</v>
      </c>
      <c r="S20" s="161">
        <v>-4</v>
      </c>
      <c r="T20" s="161">
        <v>-3</v>
      </c>
      <c r="U20" s="161">
        <v>-2</v>
      </c>
      <c r="V20" s="161">
        <v>-1</v>
      </c>
      <c r="W20" s="161">
        <v>0</v>
      </c>
      <c r="X20" s="161"/>
      <c r="Y20" s="161"/>
      <c r="Z20" s="161"/>
      <c r="AA20" s="161"/>
      <c r="AB20" s="161">
        <v>0</v>
      </c>
      <c r="AC20" s="161"/>
      <c r="AD20" s="161"/>
      <c r="AE20" s="161"/>
      <c r="AF20" s="161"/>
      <c r="AG20" s="161">
        <v>0</v>
      </c>
      <c r="AH20" s="161"/>
      <c r="AI20" s="161"/>
      <c r="AJ20" s="161"/>
      <c r="AK20" s="161"/>
      <c r="AL20" s="161">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443</v>
      </c>
      <c r="O21" s="159">
        <f t="shared" si="1"/>
        <v>656895614617480.63</v>
      </c>
      <c r="P21" s="159">
        <f t="shared" si="0"/>
        <v>1200951879470562.8</v>
      </c>
      <c r="Q21" s="161">
        <f>SUM(Q22:Q26)</f>
        <v>1218084323037287.8</v>
      </c>
      <c r="R21" s="161">
        <v>1187921133284383</v>
      </c>
      <c r="S21" s="161">
        <v>1221604380535230.5</v>
      </c>
      <c r="T21" s="161">
        <v>1255287627786077.8</v>
      </c>
      <c r="U21" s="161">
        <v>1288970875036925</v>
      </c>
      <c r="V21" s="161">
        <v>1322654122287772.5</v>
      </c>
      <c r="W21" s="161">
        <v>1356337369538620</v>
      </c>
      <c r="X21" s="161">
        <v>1365180806571748</v>
      </c>
      <c r="Y21" s="161">
        <v>1374024243604878</v>
      </c>
      <c r="Z21" s="161">
        <v>1382867680638008</v>
      </c>
      <c r="AA21" s="161">
        <v>1391711117671138</v>
      </c>
      <c r="AB21" s="161">
        <v>1400554554704270</v>
      </c>
      <c r="AC21" s="161">
        <v>1398936562637222</v>
      </c>
      <c r="AD21" s="161">
        <v>1397318570570174</v>
      </c>
      <c r="AE21" s="161">
        <v>1395700578503126</v>
      </c>
      <c r="AF21" s="161">
        <v>1394082586436078</v>
      </c>
      <c r="AG21" s="161">
        <v>1392464594369030</v>
      </c>
      <c r="AH21" s="161">
        <v>1385040866061398</v>
      </c>
      <c r="AI21" s="161">
        <v>1377617137753766</v>
      </c>
      <c r="AJ21" s="161">
        <v>1370193409446134</v>
      </c>
      <c r="AK21" s="161">
        <v>1362769681138502</v>
      </c>
      <c r="AL21" s="161">
        <v>1355345952830870</v>
      </c>
      <c r="AM21" s="161">
        <v>1355663206177350</v>
      </c>
      <c r="AN21" s="161">
        <v>1350702517486936</v>
      </c>
      <c r="AO21" s="161">
        <v>1345741828796520</v>
      </c>
      <c r="AP21" s="161">
        <v>1340781140106106</v>
      </c>
      <c r="AQ21" s="161">
        <v>1335820451415692</v>
      </c>
      <c r="AR21" s="161">
        <v>1330859762725278</v>
      </c>
      <c r="AS21" s="161">
        <v>1325899074034862</v>
      </c>
      <c r="AT21" s="161">
        <v>1320938385344448</v>
      </c>
      <c r="AU21" s="161">
        <v>1315977696654034</v>
      </c>
      <c r="AV21" s="161">
        <v>1311017007963618</v>
      </c>
      <c r="AW21" s="184">
        <f>(AV21/R21)^(1/30)-1</f>
        <v>3.2920183413733817E-3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si="1"/>
        <v>526442955893830.69</v>
      </c>
      <c r="P22" s="159">
        <f t="shared" si="0"/>
        <v>1013738930240310.6</v>
      </c>
      <c r="Q22" s="161">
        <f>P22*P$73</f>
        <v>1004407230411281.6</v>
      </c>
      <c r="R22" s="161">
        <v>955882391300331</v>
      </c>
      <c r="S22" s="161">
        <v>1000520325478848.8</v>
      </c>
      <c r="T22" s="161">
        <v>1045158259657366.6</v>
      </c>
      <c r="U22" s="161">
        <v>1089796193835884.4</v>
      </c>
      <c r="V22" s="161">
        <v>1134434128014402.3</v>
      </c>
      <c r="W22" s="161">
        <v>1179072062192920</v>
      </c>
      <c r="X22" s="161">
        <v>1188034469230978</v>
      </c>
      <c r="Y22" s="161">
        <v>1196996876269038</v>
      </c>
      <c r="Z22" s="161">
        <v>1205959283307098</v>
      </c>
      <c r="AA22" s="161">
        <v>1214921690345158</v>
      </c>
      <c r="AB22" s="161">
        <v>1223884097383220</v>
      </c>
      <c r="AC22" s="161">
        <v>1221925057968706.5</v>
      </c>
      <c r="AD22" s="161">
        <v>1219966018554192.5</v>
      </c>
      <c r="AE22" s="161">
        <v>1218006979139678.5</v>
      </c>
      <c r="AF22" s="161">
        <v>1216047939725164.5</v>
      </c>
      <c r="AG22" s="161">
        <v>1214088900310650</v>
      </c>
      <c r="AH22" s="161">
        <v>1206316193321890</v>
      </c>
      <c r="AI22" s="161">
        <v>1198543486333130</v>
      </c>
      <c r="AJ22" s="161">
        <v>1190770779344370</v>
      </c>
      <c r="AK22" s="161">
        <v>1182998072355610</v>
      </c>
      <c r="AL22" s="161">
        <v>1175225365366850</v>
      </c>
      <c r="AM22" s="161">
        <v>1175204215143750</v>
      </c>
      <c r="AN22" s="161">
        <v>1169897912580428</v>
      </c>
      <c r="AO22" s="161">
        <v>1164591610017106</v>
      </c>
      <c r="AP22" s="161">
        <v>1159285307453784</v>
      </c>
      <c r="AQ22" s="161">
        <v>1153979004890462</v>
      </c>
      <c r="AR22" s="161">
        <v>1148672702327138</v>
      </c>
      <c r="AS22" s="161">
        <v>1143366399763816</v>
      </c>
      <c r="AT22" s="161">
        <v>1138060097200494</v>
      </c>
      <c r="AU22" s="161">
        <v>1132753794637172</v>
      </c>
      <c r="AV22" s="161">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si="1"/>
        <v>36595829325918.25</v>
      </c>
      <c r="P23" s="159">
        <f t="shared" si="0"/>
        <v>2709300599175.8423</v>
      </c>
      <c r="Q23" s="161">
        <f>P23*P$74</f>
        <v>2706250861875.7437</v>
      </c>
      <c r="R23" s="161">
        <v>2599510056372.3008</v>
      </c>
      <c r="S23" s="161">
        <v>2539625397493.8403</v>
      </c>
      <c r="T23" s="161">
        <v>2479740738615.3804</v>
      </c>
      <c r="U23" s="161">
        <v>2419856079736.9199</v>
      </c>
      <c r="V23" s="161">
        <v>2359971420858.46</v>
      </c>
      <c r="W23" s="161">
        <v>2300086761980</v>
      </c>
      <c r="X23" s="161">
        <v>2292155428318.002</v>
      </c>
      <c r="Y23" s="161">
        <v>2284224094656.002</v>
      </c>
      <c r="Z23" s="161">
        <v>2276292760994.002</v>
      </c>
      <c r="AA23" s="161">
        <v>2268361427332.002</v>
      </c>
      <c r="AB23" s="161">
        <v>2260430093670</v>
      </c>
      <c r="AC23" s="161">
        <v>2244567426346</v>
      </c>
      <c r="AD23" s="161">
        <v>2228704759022</v>
      </c>
      <c r="AE23" s="161">
        <v>2212842091698</v>
      </c>
      <c r="AF23" s="161">
        <v>2196979424374</v>
      </c>
      <c r="AG23" s="161">
        <v>2181116757050</v>
      </c>
      <c r="AH23" s="161">
        <v>2157322756064</v>
      </c>
      <c r="AI23" s="161">
        <v>2133528755078</v>
      </c>
      <c r="AJ23" s="161">
        <v>2109734754092</v>
      </c>
      <c r="AK23" s="161">
        <v>2085940753106</v>
      </c>
      <c r="AL23" s="161">
        <v>2062146752120</v>
      </c>
      <c r="AM23" s="161">
        <v>2048927862683.3359</v>
      </c>
      <c r="AN23" s="161">
        <v>2028498669917.5781</v>
      </c>
      <c r="AO23" s="161">
        <v>2008069477151.8203</v>
      </c>
      <c r="AP23" s="161">
        <v>1987640284386.0625</v>
      </c>
      <c r="AQ23" s="161">
        <v>1967211091620.3047</v>
      </c>
      <c r="AR23" s="161">
        <v>1946781898854.5469</v>
      </c>
      <c r="AS23" s="161">
        <v>1926352706088.7891</v>
      </c>
      <c r="AT23" s="161">
        <v>1905923513323.0313</v>
      </c>
      <c r="AU23" s="161">
        <v>1885494320557.2734</v>
      </c>
      <c r="AV23" s="161">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si="1"/>
        <v>25658603993433.984</v>
      </c>
      <c r="P24" s="159">
        <f t="shared" si="0"/>
        <v>65642399014985.734</v>
      </c>
      <c r="Q24" s="161">
        <f>P24*P$75</f>
        <v>93761051782445.266</v>
      </c>
      <c r="R24" s="161">
        <v>115985416512739.73</v>
      </c>
      <c r="S24" s="161">
        <v>106953695130523.78</v>
      </c>
      <c r="T24" s="161">
        <v>97921973748307.844</v>
      </c>
      <c r="U24" s="161">
        <v>88890252366091.891</v>
      </c>
      <c r="V24" s="161">
        <v>79858530983875.938</v>
      </c>
      <c r="W24" s="161">
        <v>70826809601660</v>
      </c>
      <c r="X24" s="161">
        <v>71366140290676</v>
      </c>
      <c r="Y24" s="161">
        <v>71905470979692</v>
      </c>
      <c r="Z24" s="161">
        <v>72444801668708</v>
      </c>
      <c r="AA24" s="161">
        <v>72984132357724</v>
      </c>
      <c r="AB24" s="161">
        <v>73523463046740</v>
      </c>
      <c r="AC24" s="161">
        <v>74150038406038</v>
      </c>
      <c r="AD24" s="161">
        <v>74776613765336</v>
      </c>
      <c r="AE24" s="161">
        <v>75403189124634</v>
      </c>
      <c r="AF24" s="161">
        <v>76029764483932</v>
      </c>
      <c r="AG24" s="161">
        <v>76656339843230</v>
      </c>
      <c r="AH24" s="161">
        <v>77171876531260</v>
      </c>
      <c r="AI24" s="161">
        <v>77687413219290</v>
      </c>
      <c r="AJ24" s="161">
        <v>78202949907320</v>
      </c>
      <c r="AK24" s="161">
        <v>78718486595350</v>
      </c>
      <c r="AL24" s="161">
        <v>79234023283380</v>
      </c>
      <c r="AM24" s="161">
        <v>79897611533100.75</v>
      </c>
      <c r="AN24" s="161">
        <v>80460255536214.25</v>
      </c>
      <c r="AO24" s="161">
        <v>81022899539327.5</v>
      </c>
      <c r="AP24" s="161">
        <v>81585543542441</v>
      </c>
      <c r="AQ24" s="161">
        <v>82148187545554.25</v>
      </c>
      <c r="AR24" s="161">
        <v>82710831548667.75</v>
      </c>
      <c r="AS24" s="161">
        <v>83273475551781</v>
      </c>
      <c r="AT24" s="161">
        <v>83836119554894.5</v>
      </c>
      <c r="AU24" s="161">
        <v>84398763558008</v>
      </c>
      <c r="AV24" s="161">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si="1"/>
        <v>68198225404297.656</v>
      </c>
      <c r="P25" s="159">
        <f t="shared" si="0"/>
        <v>118861249616090.5</v>
      </c>
      <c r="Q25" s="161">
        <f>P25*P$77</f>
        <v>117209789981685.2</v>
      </c>
      <c r="R25" s="161">
        <v>113453815414940.44</v>
      </c>
      <c r="S25" s="161">
        <v>111582803194702.36</v>
      </c>
      <c r="T25" s="161">
        <v>109711790974464.27</v>
      </c>
      <c r="U25" s="161">
        <v>107840778754226.19</v>
      </c>
      <c r="V25" s="161">
        <v>105969766533988.09</v>
      </c>
      <c r="W25" s="161">
        <v>104098754313750</v>
      </c>
      <c r="X25" s="161">
        <v>103464247620790</v>
      </c>
      <c r="Y25" s="161">
        <v>102829740927830</v>
      </c>
      <c r="Z25" s="161">
        <v>102195234234870</v>
      </c>
      <c r="AA25" s="161">
        <v>101560727541910</v>
      </c>
      <c r="AB25" s="161">
        <v>100926220848950</v>
      </c>
      <c r="AC25" s="161">
        <v>100648624170780</v>
      </c>
      <c r="AD25" s="161">
        <v>100371027492610</v>
      </c>
      <c r="AE25" s="161">
        <v>100093430814440</v>
      </c>
      <c r="AF25" s="161">
        <v>99815834136270</v>
      </c>
      <c r="AG25" s="161">
        <v>99538237458099.984</v>
      </c>
      <c r="AH25" s="161">
        <v>99395473452184</v>
      </c>
      <c r="AI25" s="161">
        <v>99252709446268</v>
      </c>
      <c r="AJ25" s="161">
        <v>99109945440352.063</v>
      </c>
      <c r="AK25" s="161">
        <v>98967181434436.063</v>
      </c>
      <c r="AL25" s="161">
        <v>98824417428520</v>
      </c>
      <c r="AM25" s="161">
        <v>98501876526265.375</v>
      </c>
      <c r="AN25" s="161">
        <v>98301910780605.25</v>
      </c>
      <c r="AO25" s="161">
        <v>98101945034945.125</v>
      </c>
      <c r="AP25" s="161">
        <v>97901979289285</v>
      </c>
      <c r="AQ25" s="161">
        <v>97702013543624.938</v>
      </c>
      <c r="AR25" s="161">
        <v>97502047797964.813</v>
      </c>
      <c r="AS25" s="161">
        <v>97302082052304.688</v>
      </c>
      <c r="AT25" s="161">
        <v>97102116306644.563</v>
      </c>
      <c r="AU25" s="161">
        <v>96902150560984.438</v>
      </c>
      <c r="AV25" s="161">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 t="shared" si="1"/>
        <v>0</v>
      </c>
      <c r="P26" s="159">
        <f t="shared" si="0"/>
        <v>0</v>
      </c>
      <c r="Q26" s="161">
        <f>P26*P$78</f>
        <v>0</v>
      </c>
      <c r="R26" s="161">
        <v>0</v>
      </c>
      <c r="S26" s="161">
        <v>0</v>
      </c>
      <c r="T26" s="161">
        <v>0</v>
      </c>
      <c r="U26" s="161">
        <v>0</v>
      </c>
      <c r="V26" s="161">
        <v>0</v>
      </c>
      <c r="W26" s="161">
        <v>0</v>
      </c>
      <c r="X26" s="161">
        <v>0</v>
      </c>
      <c r="Y26" s="161">
        <v>0</v>
      </c>
      <c r="Z26" s="161">
        <v>0</v>
      </c>
      <c r="AA26" s="161">
        <v>0</v>
      </c>
      <c r="AB26" s="161">
        <v>0</v>
      </c>
      <c r="AC26" s="161">
        <v>0</v>
      </c>
      <c r="AD26" s="161">
        <v>0</v>
      </c>
      <c r="AE26" s="161">
        <v>0</v>
      </c>
      <c r="AF26" s="161">
        <v>0</v>
      </c>
      <c r="AG26" s="161">
        <v>0</v>
      </c>
      <c r="AH26" s="161">
        <v>0</v>
      </c>
      <c r="AI26" s="161">
        <v>0</v>
      </c>
      <c r="AJ26" s="161">
        <v>0</v>
      </c>
      <c r="AK26" s="161">
        <v>0</v>
      </c>
      <c r="AL26" s="161">
        <v>0</v>
      </c>
      <c r="AM26" s="173">
        <v>0</v>
      </c>
      <c r="AN26" s="173">
        <v>0</v>
      </c>
      <c r="AO26" s="173">
        <v>0</v>
      </c>
      <c r="AP26" s="173">
        <v>0</v>
      </c>
      <c r="AQ26" s="173">
        <v>0</v>
      </c>
      <c r="AR26" s="173">
        <v>0</v>
      </c>
      <c r="AS26" s="173">
        <v>0</v>
      </c>
      <c r="AT26" s="173">
        <v>0</v>
      </c>
      <c r="AU26" s="173">
        <v>0</v>
      </c>
      <c r="AV26" s="173">
        <v>0</v>
      </c>
      <c r="AW26" s="181"/>
    </row>
    <row r="27" spans="1:49" s="63" customFormat="1" ht="3" customHeight="1">
      <c r="A27" s="58"/>
      <c r="B27" s="59"/>
      <c r="C27" s="59"/>
      <c r="D27" s="60"/>
      <c r="E27" s="60"/>
      <c r="F27" s="60"/>
      <c r="G27" s="60"/>
      <c r="H27" s="61"/>
      <c r="I27" s="61"/>
      <c r="J27" s="61"/>
      <c r="K27" s="62"/>
      <c r="L27" s="62"/>
      <c r="N27" s="58"/>
      <c r="O27" s="159">
        <f t="shared" si="1"/>
        <v>0</v>
      </c>
      <c r="P27" s="159">
        <f t="shared" si="0"/>
        <v>0</v>
      </c>
      <c r="Q27" s="161"/>
      <c r="R27" s="161">
        <v>-5</v>
      </c>
      <c r="S27" s="161">
        <v>-4</v>
      </c>
      <c r="T27" s="161">
        <v>-3</v>
      </c>
      <c r="U27" s="161">
        <v>-2</v>
      </c>
      <c r="V27" s="161">
        <v>-1</v>
      </c>
      <c r="W27" s="161">
        <v>0</v>
      </c>
      <c r="X27" s="161"/>
      <c r="Y27" s="161"/>
      <c r="Z27" s="161"/>
      <c r="AA27" s="161"/>
      <c r="AB27" s="161">
        <v>0</v>
      </c>
      <c r="AC27" s="161"/>
      <c r="AD27" s="161"/>
      <c r="AE27" s="161"/>
      <c r="AF27" s="161"/>
      <c r="AG27" s="161">
        <v>0</v>
      </c>
      <c r="AH27" s="161"/>
      <c r="AI27" s="161"/>
      <c r="AJ27" s="161"/>
      <c r="AK27" s="161"/>
      <c r="AL27" s="161">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 t="shared" si="1"/>
        <v>202557059593443.84</v>
      </c>
      <c r="P28" s="159">
        <f t="shared" si="0"/>
        <v>453041367029179.94</v>
      </c>
      <c r="Q28" s="161">
        <f>SUM(Q29:Q33)</f>
        <v>481384618057926.56</v>
      </c>
      <c r="R28" s="161">
        <v>495852240569989.63</v>
      </c>
      <c r="S28" s="161">
        <v>500804340770727.69</v>
      </c>
      <c r="T28" s="161">
        <v>505756440971465.75</v>
      </c>
      <c r="U28" s="161">
        <v>510708541172203.88</v>
      </c>
      <c r="V28" s="161">
        <v>515660641372941.94</v>
      </c>
      <c r="W28" s="161">
        <v>520612741573680</v>
      </c>
      <c r="X28" s="161">
        <v>529828951288920</v>
      </c>
      <c r="Y28" s="161">
        <v>539045161004164</v>
      </c>
      <c r="Z28" s="161">
        <v>548261370719408</v>
      </c>
      <c r="AA28" s="161">
        <v>557477580434652</v>
      </c>
      <c r="AB28" s="161">
        <v>566693790149900</v>
      </c>
      <c r="AC28" s="161">
        <v>574522016474292</v>
      </c>
      <c r="AD28" s="161">
        <v>582350242798686</v>
      </c>
      <c r="AE28" s="161">
        <v>590178469123080</v>
      </c>
      <c r="AF28" s="161">
        <v>598006695447474</v>
      </c>
      <c r="AG28" s="161">
        <v>605834921771870</v>
      </c>
      <c r="AH28" s="161">
        <v>613932813440770</v>
      </c>
      <c r="AI28" s="161">
        <v>622030705109672</v>
      </c>
      <c r="AJ28" s="161">
        <v>630128596778574</v>
      </c>
      <c r="AK28" s="161">
        <v>638226488447476</v>
      </c>
      <c r="AL28" s="161">
        <v>646324380116379.88</v>
      </c>
      <c r="AM28" s="161">
        <v>654062717992606</v>
      </c>
      <c r="AN28" s="161">
        <v>662046206182018</v>
      </c>
      <c r="AO28" s="161">
        <v>670029694371432</v>
      </c>
      <c r="AP28" s="161">
        <v>678013182560846</v>
      </c>
      <c r="AQ28" s="161">
        <v>685996670750260</v>
      </c>
      <c r="AR28" s="161">
        <v>693980158939674</v>
      </c>
      <c r="AS28" s="161">
        <v>701963647129088</v>
      </c>
      <c r="AT28" s="161">
        <v>709947135318502</v>
      </c>
      <c r="AU28" s="161">
        <v>717930623507916</v>
      </c>
      <c r="AV28" s="161">
        <v>725914111697330</v>
      </c>
      <c r="AW28" s="184">
        <f>(AV28/R28)^(1/30)-1</f>
        <v>1.2786177125774234E-2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si="1"/>
        <v>0</v>
      </c>
      <c r="P29" s="159">
        <f t="shared" si="0"/>
        <v>0</v>
      </c>
      <c r="Q29" s="161">
        <f>P29*P$73</f>
        <v>0</v>
      </c>
      <c r="R29" s="161">
        <v>0</v>
      </c>
      <c r="S29" s="161">
        <v>0</v>
      </c>
      <c r="T29" s="161">
        <v>0</v>
      </c>
      <c r="U29" s="161">
        <v>0</v>
      </c>
      <c r="V29" s="161">
        <v>0</v>
      </c>
      <c r="W29" s="161">
        <v>0</v>
      </c>
      <c r="X29" s="161">
        <v>0</v>
      </c>
      <c r="Y29" s="161">
        <v>0</v>
      </c>
      <c r="Z29" s="161">
        <v>0</v>
      </c>
      <c r="AA29" s="161">
        <v>0</v>
      </c>
      <c r="AB29" s="161">
        <v>0</v>
      </c>
      <c r="AC29" s="161">
        <v>0</v>
      </c>
      <c r="AD29" s="161">
        <v>0</v>
      </c>
      <c r="AE29" s="161">
        <v>0</v>
      </c>
      <c r="AF29" s="161">
        <v>0</v>
      </c>
      <c r="AG29" s="161">
        <v>0</v>
      </c>
      <c r="AH29" s="161">
        <v>0</v>
      </c>
      <c r="AI29" s="161">
        <v>0</v>
      </c>
      <c r="AJ29" s="161">
        <v>0</v>
      </c>
      <c r="AK29" s="161">
        <v>0</v>
      </c>
      <c r="AL29" s="161">
        <v>0</v>
      </c>
      <c r="AM29" s="161">
        <v>0</v>
      </c>
      <c r="AN29" s="161">
        <v>0</v>
      </c>
      <c r="AO29" s="161">
        <v>0</v>
      </c>
      <c r="AP29" s="161">
        <v>0</v>
      </c>
      <c r="AQ29" s="161">
        <v>0</v>
      </c>
      <c r="AR29" s="161">
        <v>0</v>
      </c>
      <c r="AS29" s="161">
        <v>0</v>
      </c>
      <c r="AT29" s="161">
        <v>0</v>
      </c>
      <c r="AU29" s="161">
        <v>0</v>
      </c>
      <c r="AV29" s="161">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si="1"/>
        <v>61409800049226.93</v>
      </c>
      <c r="P30" s="159">
        <f t="shared" si="0"/>
        <v>11264184927151.188</v>
      </c>
      <c r="Q30" s="161">
        <f>P30*P$74</f>
        <v>11251505343003.902</v>
      </c>
      <c r="R30" s="161">
        <v>10807719897848.939</v>
      </c>
      <c r="S30" s="161">
        <v>10803498674343.15</v>
      </c>
      <c r="T30" s="161">
        <v>10799277450837.363</v>
      </c>
      <c r="U30" s="161">
        <v>10795056227331.574</v>
      </c>
      <c r="V30" s="161">
        <v>10790835003825.787</v>
      </c>
      <c r="W30" s="161">
        <v>10786613780320</v>
      </c>
      <c r="X30" s="161">
        <v>10556605104122</v>
      </c>
      <c r="Y30" s="161">
        <v>10326596427924</v>
      </c>
      <c r="Z30" s="161">
        <v>10096587751726</v>
      </c>
      <c r="AA30" s="161">
        <v>9866579075528</v>
      </c>
      <c r="AB30" s="161">
        <v>9636570399330</v>
      </c>
      <c r="AC30" s="161">
        <v>9430355724118</v>
      </c>
      <c r="AD30" s="161">
        <v>9224141048906</v>
      </c>
      <c r="AE30" s="161">
        <v>9017926373694</v>
      </c>
      <c r="AF30" s="161">
        <v>8811711698482</v>
      </c>
      <c r="AG30" s="161">
        <v>8605497023270</v>
      </c>
      <c r="AH30" s="161">
        <v>8391351014396</v>
      </c>
      <c r="AI30" s="161">
        <v>8177205005522</v>
      </c>
      <c r="AJ30" s="161">
        <v>7963058996648</v>
      </c>
      <c r="AK30" s="161">
        <v>7748912987774</v>
      </c>
      <c r="AL30" s="161">
        <v>7534766978900</v>
      </c>
      <c r="AM30" s="161">
        <v>7331196081575.3125</v>
      </c>
      <c r="AN30" s="161">
        <v>7120414880921.5625</v>
      </c>
      <c r="AO30" s="161">
        <v>6909633680267.8125</v>
      </c>
      <c r="AP30" s="161">
        <v>6698852479614</v>
      </c>
      <c r="AQ30" s="161">
        <v>6488071278960.25</v>
      </c>
      <c r="AR30" s="161">
        <v>6277290078306.5</v>
      </c>
      <c r="AS30" s="161">
        <v>6066508877652.75</v>
      </c>
      <c r="AT30" s="161">
        <v>5855727676999</v>
      </c>
      <c r="AU30" s="161">
        <v>5644946476345.25</v>
      </c>
      <c r="AV30" s="161">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si="1"/>
        <v>28611126228116.938</v>
      </c>
      <c r="P31" s="159">
        <f t="shared" si="0"/>
        <v>77995673021520.797</v>
      </c>
      <c r="Q31" s="161">
        <f>P31*P$75</f>
        <v>111405988305027.98</v>
      </c>
      <c r="R31" s="161">
        <v>137812766707800</v>
      </c>
      <c r="S31" s="161">
        <v>126969464725736</v>
      </c>
      <c r="T31" s="161">
        <v>116126162743672.02</v>
      </c>
      <c r="U31" s="161">
        <v>105282860761608.02</v>
      </c>
      <c r="V31" s="161">
        <v>94439558779544.016</v>
      </c>
      <c r="W31" s="161">
        <v>83596256797480</v>
      </c>
      <c r="X31" s="161">
        <v>85317356202134</v>
      </c>
      <c r="Y31" s="161">
        <v>87038455606788</v>
      </c>
      <c r="Z31" s="161">
        <v>88759555011442</v>
      </c>
      <c r="AA31" s="161">
        <v>90480654416096</v>
      </c>
      <c r="AB31" s="161">
        <v>92201753820750</v>
      </c>
      <c r="AC31" s="161">
        <v>93780089219488</v>
      </c>
      <c r="AD31" s="161">
        <v>95358424618226</v>
      </c>
      <c r="AE31" s="161">
        <v>96936760016964</v>
      </c>
      <c r="AF31" s="161">
        <v>98515095415702</v>
      </c>
      <c r="AG31" s="161">
        <v>100093430814440</v>
      </c>
      <c r="AH31" s="161">
        <v>101751079549798</v>
      </c>
      <c r="AI31" s="161">
        <v>103408728285156</v>
      </c>
      <c r="AJ31" s="161">
        <v>105066377020514</v>
      </c>
      <c r="AK31" s="161">
        <v>106724025755872</v>
      </c>
      <c r="AL31" s="161">
        <v>108381674491230</v>
      </c>
      <c r="AM31" s="161">
        <v>109933572111094.5</v>
      </c>
      <c r="AN31" s="161">
        <v>111557572764250</v>
      </c>
      <c r="AO31" s="161">
        <v>113181573417405.5</v>
      </c>
      <c r="AP31" s="161">
        <v>114805574070561</v>
      </c>
      <c r="AQ31" s="161">
        <v>116429574723717</v>
      </c>
      <c r="AR31" s="161">
        <v>118053575376872.5</v>
      </c>
      <c r="AS31" s="161">
        <v>119677576030028</v>
      </c>
      <c r="AT31" s="161">
        <v>121301576683183.5</v>
      </c>
      <c r="AU31" s="161">
        <v>122925577336339</v>
      </c>
      <c r="AV31" s="161">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si="1"/>
        <v>112536133316099.98</v>
      </c>
      <c r="P32" s="159">
        <f t="shared" si="0"/>
        <v>363781509080507.94</v>
      </c>
      <c r="Q32" s="161">
        <f>P32*P$77</f>
        <v>358727124409894.69</v>
      </c>
      <c r="R32" s="161">
        <v>347231753964340.75</v>
      </c>
      <c r="S32" s="161">
        <v>363023446036986.56</v>
      </c>
      <c r="T32" s="161">
        <v>378815138109632.44</v>
      </c>
      <c r="U32" s="161">
        <v>394606830182278.31</v>
      </c>
      <c r="V32" s="161">
        <v>410398522254924.13</v>
      </c>
      <c r="W32" s="161">
        <v>426190214327570</v>
      </c>
      <c r="X32" s="161">
        <v>433923264648018</v>
      </c>
      <c r="Y32" s="161">
        <v>441656314968468</v>
      </c>
      <c r="Z32" s="161">
        <v>449389365288918</v>
      </c>
      <c r="AA32" s="161">
        <v>457122415609368</v>
      </c>
      <c r="AB32" s="161">
        <v>464855465929820</v>
      </c>
      <c r="AC32" s="161">
        <v>471311571530688</v>
      </c>
      <c r="AD32" s="161">
        <v>477767677131556</v>
      </c>
      <c r="AE32" s="161">
        <v>484223782732424</v>
      </c>
      <c r="AF32" s="161">
        <v>490679888333292</v>
      </c>
      <c r="AG32" s="161">
        <v>497135993934160</v>
      </c>
      <c r="AH32" s="161">
        <v>503782451542916</v>
      </c>
      <c r="AI32" s="161">
        <v>510428909151672</v>
      </c>
      <c r="AJ32" s="161">
        <v>517075366760428</v>
      </c>
      <c r="AK32" s="161">
        <v>523721824369184</v>
      </c>
      <c r="AL32" s="161">
        <v>530368281977940</v>
      </c>
      <c r="AM32" s="161">
        <v>536760936909512</v>
      </c>
      <c r="AN32" s="161">
        <v>543326639120982</v>
      </c>
      <c r="AO32" s="161">
        <v>549892341332454</v>
      </c>
      <c r="AP32" s="161">
        <v>556458043543924</v>
      </c>
      <c r="AQ32" s="161">
        <v>563023745755394</v>
      </c>
      <c r="AR32" s="161">
        <v>569589447966864</v>
      </c>
      <c r="AS32" s="161">
        <v>576155150178334</v>
      </c>
      <c r="AT32" s="161">
        <v>582720852389804</v>
      </c>
      <c r="AU32" s="161">
        <v>589286554601274</v>
      </c>
      <c r="AV32" s="161">
        <v>595852256812744</v>
      </c>
      <c r="AW32" s="181"/>
    </row>
    <row r="33" spans="1:59" ht="13.5" customHeight="1">
      <c r="A33" s="57" t="s">
        <v>45</v>
      </c>
      <c r="B33" s="64">
        <v>0</v>
      </c>
      <c r="C33" s="64">
        <v>0</v>
      </c>
      <c r="D33" s="52">
        <v>0</v>
      </c>
      <c r="E33" s="52">
        <v>0</v>
      </c>
      <c r="F33" s="52">
        <v>0</v>
      </c>
      <c r="G33" s="52">
        <v>0</v>
      </c>
      <c r="H33" s="53">
        <v>0</v>
      </c>
      <c r="I33" s="53">
        <v>0</v>
      </c>
      <c r="J33" s="65"/>
      <c r="K33" s="55" t="s">
        <v>39</v>
      </c>
      <c r="L33" s="55" t="s">
        <v>39</v>
      </c>
      <c r="N33" s="57" t="s">
        <v>45</v>
      </c>
      <c r="O33" s="159">
        <f t="shared" si="1"/>
        <v>0</v>
      </c>
      <c r="P33" s="159">
        <f t="shared" si="0"/>
        <v>0</v>
      </c>
      <c r="Q33" s="161">
        <f>P33*P$78</f>
        <v>0</v>
      </c>
      <c r="R33" s="161">
        <v>0</v>
      </c>
      <c r="S33" s="161">
        <v>0</v>
      </c>
      <c r="T33" s="161">
        <v>0</v>
      </c>
      <c r="U33" s="161">
        <v>0</v>
      </c>
      <c r="V33" s="161">
        <v>0</v>
      </c>
      <c r="W33" s="161">
        <v>0</v>
      </c>
      <c r="X33" s="161">
        <v>0</v>
      </c>
      <c r="Y33" s="161">
        <v>0</v>
      </c>
      <c r="Z33" s="161">
        <v>0</v>
      </c>
      <c r="AA33" s="161">
        <v>0</v>
      </c>
      <c r="AB33" s="161">
        <v>0</v>
      </c>
      <c r="AC33" s="161">
        <v>0</v>
      </c>
      <c r="AD33" s="161">
        <v>0</v>
      </c>
      <c r="AE33" s="161">
        <v>0</v>
      </c>
      <c r="AF33" s="161">
        <v>0</v>
      </c>
      <c r="AG33" s="161">
        <v>0</v>
      </c>
      <c r="AH33" s="161">
        <v>0</v>
      </c>
      <c r="AI33" s="161">
        <v>0</v>
      </c>
      <c r="AJ33" s="161">
        <v>0</v>
      </c>
      <c r="AK33" s="161">
        <v>0</v>
      </c>
      <c r="AL33" s="161">
        <v>0</v>
      </c>
      <c r="AM33" s="173">
        <v>0</v>
      </c>
      <c r="AN33" s="173">
        <v>0</v>
      </c>
      <c r="AO33" s="173">
        <v>0</v>
      </c>
      <c r="AP33" s="173">
        <v>0</v>
      </c>
      <c r="AQ33" s="173">
        <v>0</v>
      </c>
      <c r="AR33" s="173">
        <v>0</v>
      </c>
      <c r="AS33" s="173">
        <v>0</v>
      </c>
      <c r="AT33" s="173">
        <v>0</v>
      </c>
      <c r="AU33" s="173">
        <v>0</v>
      </c>
      <c r="AV33" s="173">
        <v>0</v>
      </c>
      <c r="AW33" s="181"/>
    </row>
    <row r="34" spans="1:59" s="63" customFormat="1" ht="3" customHeight="1">
      <c r="A34" s="58"/>
      <c r="B34" s="59"/>
      <c r="C34" s="59"/>
      <c r="D34" s="60"/>
      <c r="E34" s="60"/>
      <c r="F34" s="60"/>
      <c r="G34" s="60"/>
      <c r="H34" s="61"/>
      <c r="I34" s="61"/>
      <c r="J34" s="61"/>
      <c r="K34" s="62"/>
      <c r="L34" s="62"/>
      <c r="N34" s="58"/>
      <c r="O34" s="159">
        <f t="shared" si="1"/>
        <v>0</v>
      </c>
      <c r="P34" s="159">
        <f t="shared" si="0"/>
        <v>0</v>
      </c>
      <c r="Q34" s="161"/>
      <c r="R34" s="161">
        <v>-5</v>
      </c>
      <c r="S34" s="161">
        <v>-4</v>
      </c>
      <c r="T34" s="161">
        <v>-3</v>
      </c>
      <c r="U34" s="161">
        <v>-2</v>
      </c>
      <c r="V34" s="161">
        <v>-1</v>
      </c>
      <c r="W34" s="161">
        <v>0</v>
      </c>
      <c r="X34" s="161"/>
      <c r="Y34" s="161"/>
      <c r="Z34" s="161"/>
      <c r="AA34" s="161"/>
      <c r="AB34" s="161">
        <v>0</v>
      </c>
      <c r="AC34" s="161"/>
      <c r="AD34" s="161"/>
      <c r="AE34" s="161"/>
      <c r="AF34" s="161"/>
      <c r="AG34" s="161">
        <v>0</v>
      </c>
      <c r="AH34" s="161"/>
      <c r="AI34" s="161"/>
      <c r="AJ34" s="161"/>
      <c r="AK34" s="161"/>
      <c r="AL34" s="161">
        <v>0</v>
      </c>
      <c r="AM34" s="161"/>
      <c r="AN34" s="161"/>
      <c r="AO34" s="161"/>
      <c r="AP34" s="161"/>
      <c r="AQ34" s="161"/>
      <c r="AR34" s="161"/>
      <c r="AS34" s="161"/>
      <c r="AT34" s="161"/>
      <c r="AU34" s="161"/>
      <c r="AV34" s="161"/>
      <c r="AW34" s="181" t="e">
        <f t="shared" ref="AW34" si="2">RATE(30,0,-R34,AV34)</f>
        <v>#NUM!</v>
      </c>
    </row>
    <row r="35" spans="1:59" ht="13.5" customHeight="1">
      <c r="A35" s="50" t="s">
        <v>438</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444</v>
      </c>
      <c r="O35" s="159">
        <f t="shared" si="1"/>
        <v>829366202438735.5</v>
      </c>
      <c r="P35" s="159">
        <f t="shared" si="0"/>
        <v>1089455067186057.5</v>
      </c>
      <c r="Q35" s="161">
        <f>SUM(Q36:Q40)</f>
        <v>1105006572607370.3</v>
      </c>
      <c r="R35" s="161">
        <v>1126254212281159.5</v>
      </c>
      <c r="S35" s="161">
        <v>1159937619888241.3</v>
      </c>
      <c r="T35" s="161">
        <v>1193621027495323</v>
      </c>
      <c r="U35" s="161">
        <v>1227304435102404.8</v>
      </c>
      <c r="V35" s="161">
        <v>1260987842709486.5</v>
      </c>
      <c r="W35" s="161">
        <v>1294671250316568.5</v>
      </c>
      <c r="X35" s="161">
        <v>1318338349963976</v>
      </c>
      <c r="Y35" s="161">
        <v>1342005449611384</v>
      </c>
      <c r="Z35" s="161">
        <v>1365672549258792</v>
      </c>
      <c r="AA35" s="161">
        <v>1389339648906200</v>
      </c>
      <c r="AB35" s="161">
        <v>1413006748553611.3</v>
      </c>
      <c r="AC35" s="161">
        <v>1432152988013688</v>
      </c>
      <c r="AD35" s="161">
        <v>1451299227473752</v>
      </c>
      <c r="AE35" s="161">
        <v>1470445466933824</v>
      </c>
      <c r="AF35" s="161">
        <v>1489591706393888</v>
      </c>
      <c r="AG35" s="161">
        <v>1508737945853950.8</v>
      </c>
      <c r="AH35" s="161">
        <v>1526337575249928</v>
      </c>
      <c r="AI35" s="161">
        <v>1543937204645908</v>
      </c>
      <c r="AJ35" s="161">
        <v>1561536834041884</v>
      </c>
      <c r="AK35" s="161">
        <v>1579136463437864</v>
      </c>
      <c r="AL35" s="161">
        <v>1596736092833840.5</v>
      </c>
      <c r="AM35" s="161">
        <v>1616397868981932</v>
      </c>
      <c r="AN35" s="161">
        <v>1634653635980860</v>
      </c>
      <c r="AO35" s="161">
        <v>1652909402979780</v>
      </c>
      <c r="AP35" s="161">
        <v>1671165169978708</v>
      </c>
      <c r="AQ35" s="161">
        <v>1689420936977628</v>
      </c>
      <c r="AR35" s="161">
        <v>1707676703976556</v>
      </c>
      <c r="AS35" s="161">
        <v>1725932470975476</v>
      </c>
      <c r="AT35" s="161">
        <v>1744188237974404</v>
      </c>
      <c r="AU35" s="161">
        <v>1762444004973332</v>
      </c>
      <c r="AV35" s="161">
        <v>1780699771972252</v>
      </c>
      <c r="AW35" s="184">
        <f>(AV35/R35)^(1/30)-1</f>
        <v>1.5387491750552318E-2</v>
      </c>
    </row>
    <row r="36" spans="1:5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si="1"/>
        <v>81216172620299.328</v>
      </c>
      <c r="P36" s="159">
        <f t="shared" si="0"/>
        <v>159186348364559.41</v>
      </c>
      <c r="Q36" s="161">
        <f>P36*P$73</f>
        <v>157721001443863.41</v>
      </c>
      <c r="R36" s="161">
        <v>150101197456244.16</v>
      </c>
      <c r="S36" s="161">
        <v>164559877141491.38</v>
      </c>
      <c r="T36" s="161">
        <v>179018556826738.56</v>
      </c>
      <c r="U36" s="161">
        <v>193477236511985.75</v>
      </c>
      <c r="V36" s="161">
        <v>207935916197232.94</v>
      </c>
      <c r="W36" s="161">
        <v>222394595882480.16</v>
      </c>
      <c r="X36" s="161">
        <v>227605482098414</v>
      </c>
      <c r="Y36" s="161">
        <v>232816368314348</v>
      </c>
      <c r="Z36" s="161">
        <v>238027254530282</v>
      </c>
      <c r="AA36" s="161">
        <v>243238140746216</v>
      </c>
      <c r="AB36" s="161">
        <v>248449026962150.03</v>
      </c>
      <c r="AC36" s="161">
        <v>252073646445684</v>
      </c>
      <c r="AD36" s="161">
        <v>255698265929218</v>
      </c>
      <c r="AE36" s="161">
        <v>259322885412752</v>
      </c>
      <c r="AF36" s="161">
        <v>262947504896286</v>
      </c>
      <c r="AG36" s="161">
        <v>266572124379820.06</v>
      </c>
      <c r="AH36" s="161">
        <v>268911867810110</v>
      </c>
      <c r="AI36" s="161">
        <v>271251611240400</v>
      </c>
      <c r="AJ36" s="161">
        <v>273591354670690</v>
      </c>
      <c r="AK36" s="161">
        <v>275931098100980</v>
      </c>
      <c r="AL36" s="161">
        <v>278270841531269.97</v>
      </c>
      <c r="AM36" s="161">
        <v>282323753032552</v>
      </c>
      <c r="AN36" s="161">
        <v>285208595394521</v>
      </c>
      <c r="AO36" s="161">
        <v>288093437756491</v>
      </c>
      <c r="AP36" s="161">
        <v>290978280118460</v>
      </c>
      <c r="AQ36" s="161">
        <v>293863122480429</v>
      </c>
      <c r="AR36" s="161">
        <v>296747964842398</v>
      </c>
      <c r="AS36" s="161">
        <v>299632807204368</v>
      </c>
      <c r="AT36" s="161">
        <v>302517649566337</v>
      </c>
      <c r="AU36" s="161">
        <v>305402491928306</v>
      </c>
      <c r="AV36" s="161">
        <v>308287334290276</v>
      </c>
      <c r="AW36" s="181"/>
    </row>
    <row r="37" spans="1:5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si="1"/>
        <v>470234770838844.38</v>
      </c>
      <c r="P37" s="159">
        <f t="shared" si="0"/>
        <v>242684471775993.03</v>
      </c>
      <c r="Q37" s="161">
        <f>P37*P$74</f>
        <v>242411292828645.84</v>
      </c>
      <c r="R37" s="161">
        <v>232850029671494.84</v>
      </c>
      <c r="S37" s="161">
        <v>238016113214421.72</v>
      </c>
      <c r="T37" s="161">
        <v>243182196757348.63</v>
      </c>
      <c r="U37" s="161">
        <v>248348280300275.5</v>
      </c>
      <c r="V37" s="161">
        <v>253514363843202.38</v>
      </c>
      <c r="W37" s="161">
        <v>258680447386129.28</v>
      </c>
      <c r="X37" s="161">
        <v>261067778818392</v>
      </c>
      <c r="Y37" s="161">
        <v>263455110250654</v>
      </c>
      <c r="Z37" s="161">
        <v>265842441682916</v>
      </c>
      <c r="AA37" s="161">
        <v>268229773115178</v>
      </c>
      <c r="AB37" s="161">
        <v>270617104547440.5</v>
      </c>
      <c r="AC37" s="161">
        <v>272314409951108</v>
      </c>
      <c r="AD37" s="161">
        <v>274011715354776</v>
      </c>
      <c r="AE37" s="161">
        <v>275709020758444</v>
      </c>
      <c r="AF37" s="161">
        <v>277406326162112</v>
      </c>
      <c r="AG37" s="161">
        <v>279103631565779.88</v>
      </c>
      <c r="AH37" s="161">
        <v>280436095620996.5</v>
      </c>
      <c r="AI37" s="161">
        <v>281768559676212</v>
      </c>
      <c r="AJ37" s="161">
        <v>283101023731428</v>
      </c>
      <c r="AK37" s="161">
        <v>284433487786644</v>
      </c>
      <c r="AL37" s="161">
        <v>285765951841859.56</v>
      </c>
      <c r="AM37" s="161">
        <v>287584871028345</v>
      </c>
      <c r="AN37" s="161">
        <v>289072116261692</v>
      </c>
      <c r="AO37" s="161">
        <v>290559361495039.5</v>
      </c>
      <c r="AP37" s="161">
        <v>292046606728386.5</v>
      </c>
      <c r="AQ37" s="161">
        <v>293533851961733.5</v>
      </c>
      <c r="AR37" s="161">
        <v>295021097195080.5</v>
      </c>
      <c r="AS37" s="161">
        <v>296508342428428</v>
      </c>
      <c r="AT37" s="161">
        <v>297995587661775</v>
      </c>
      <c r="AU37" s="161">
        <v>299482832895122</v>
      </c>
      <c r="AV37" s="161">
        <v>300970078128469.5</v>
      </c>
      <c r="AW37" s="181"/>
    </row>
    <row r="38" spans="1:5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si="1"/>
        <v>54270570942919.078</v>
      </c>
      <c r="P38" s="159">
        <f t="shared" si="0"/>
        <v>82563564003733.469</v>
      </c>
      <c r="Q38" s="161">
        <f>P38*P$75</f>
        <v>117930586268335.67</v>
      </c>
      <c r="R38" s="161">
        <v>145883902834859.75</v>
      </c>
      <c r="S38" s="161">
        <v>135115747697389.81</v>
      </c>
      <c r="T38" s="161">
        <v>124347592559919.86</v>
      </c>
      <c r="U38" s="161">
        <v>113579437422449.91</v>
      </c>
      <c r="V38" s="161">
        <v>102811282284979.95</v>
      </c>
      <c r="W38" s="161">
        <v>92043127147509.984</v>
      </c>
      <c r="X38" s="161">
        <v>93605599878924</v>
      </c>
      <c r="Y38" s="161">
        <v>95168072610338</v>
      </c>
      <c r="Z38" s="161">
        <v>96730545341752</v>
      </c>
      <c r="AA38" s="161">
        <v>98293018073166</v>
      </c>
      <c r="AB38" s="161">
        <v>99855490804580.031</v>
      </c>
      <c r="AC38" s="161">
        <v>101489345538952</v>
      </c>
      <c r="AD38" s="161">
        <v>103123200273324</v>
      </c>
      <c r="AE38" s="161">
        <v>104757055007696</v>
      </c>
      <c r="AF38" s="161">
        <v>106390909742068</v>
      </c>
      <c r="AG38" s="161">
        <v>108024764476440.02</v>
      </c>
      <c r="AH38" s="161">
        <v>109880696553348</v>
      </c>
      <c r="AI38" s="161">
        <v>111736628630256</v>
      </c>
      <c r="AJ38" s="161">
        <v>113592560707164</v>
      </c>
      <c r="AK38" s="161">
        <v>115448492784072</v>
      </c>
      <c r="AL38" s="161">
        <v>117304424860979.94</v>
      </c>
      <c r="AM38" s="161">
        <v>118864253814506.5</v>
      </c>
      <c r="AN38" s="161">
        <v>120625971261247.5</v>
      </c>
      <c r="AO38" s="161">
        <v>122387688707989</v>
      </c>
      <c r="AP38" s="161">
        <v>124149406154730</v>
      </c>
      <c r="AQ38" s="161">
        <v>125911123601471.5</v>
      </c>
      <c r="AR38" s="161">
        <v>127672841048212.5</v>
      </c>
      <c r="AS38" s="161">
        <v>129434558494954</v>
      </c>
      <c r="AT38" s="161">
        <v>131196275941695</v>
      </c>
      <c r="AU38" s="161">
        <v>132957993388436</v>
      </c>
      <c r="AV38" s="161">
        <v>134719710835177.5</v>
      </c>
      <c r="AW38" s="181"/>
    </row>
    <row r="39" spans="1:5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si="1"/>
        <v>147979764901192.38</v>
      </c>
      <c r="P39" s="159">
        <f t="shared" si="0"/>
        <v>230978987541851.59</v>
      </c>
      <c r="Q39" s="161">
        <f>P39*P$77</f>
        <v>227769762705723.56</v>
      </c>
      <c r="R39" s="161">
        <v>220470906220016.47</v>
      </c>
      <c r="S39" s="161">
        <v>228572831805635.19</v>
      </c>
      <c r="T39" s="161">
        <v>236674757391253.88</v>
      </c>
      <c r="U39" s="161">
        <v>244776682976872.56</v>
      </c>
      <c r="V39" s="161">
        <v>252878608562491.28</v>
      </c>
      <c r="W39" s="161">
        <v>260980534148109.97</v>
      </c>
      <c r="X39" s="161">
        <v>263082337568540</v>
      </c>
      <c r="Y39" s="161">
        <v>265184140988970</v>
      </c>
      <c r="Z39" s="161">
        <v>267285944409400</v>
      </c>
      <c r="AA39" s="161">
        <v>269387747829830</v>
      </c>
      <c r="AB39" s="161">
        <v>271489551250260</v>
      </c>
      <c r="AC39" s="161">
        <v>272599937962940</v>
      </c>
      <c r="AD39" s="161">
        <v>273710324675620</v>
      </c>
      <c r="AE39" s="161">
        <v>274820711388300</v>
      </c>
      <c r="AF39" s="161">
        <v>275931098100980</v>
      </c>
      <c r="AG39" s="161">
        <v>277041484813660.03</v>
      </c>
      <c r="AH39" s="161">
        <v>277834618179860</v>
      </c>
      <c r="AI39" s="161">
        <v>278627751546060</v>
      </c>
      <c r="AJ39" s="161">
        <v>279420884912260</v>
      </c>
      <c r="AK39" s="161">
        <v>280214018278460</v>
      </c>
      <c r="AL39" s="161">
        <v>281007151644659.94</v>
      </c>
      <c r="AM39" s="161">
        <v>282223289472833.5</v>
      </c>
      <c r="AN39" s="161">
        <v>283151015167843</v>
      </c>
      <c r="AO39" s="161">
        <v>284078740862852.75</v>
      </c>
      <c r="AP39" s="161">
        <v>285006466557862.5</v>
      </c>
      <c r="AQ39" s="161">
        <v>285934192252872.25</v>
      </c>
      <c r="AR39" s="161">
        <v>286861917947881.75</v>
      </c>
      <c r="AS39" s="161">
        <v>287789643642891.5</v>
      </c>
      <c r="AT39" s="161">
        <v>288717369337901.25</v>
      </c>
      <c r="AU39" s="161">
        <v>289645095032911</v>
      </c>
      <c r="AV39" s="161">
        <v>290572820727920.75</v>
      </c>
      <c r="AW39" s="181"/>
    </row>
    <row r="40" spans="1:5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39" t="s">
        <v>45</v>
      </c>
      <c r="O40" s="159">
        <f t="shared" si="1"/>
        <v>75664923135480</v>
      </c>
      <c r="P40" s="159">
        <f t="shared" si="0"/>
        <v>374041695499920</v>
      </c>
      <c r="Q40" s="161">
        <f>P40*P$78</f>
        <v>359173929360801.81</v>
      </c>
      <c r="R40" s="161">
        <v>376948176098544.5</v>
      </c>
      <c r="S40" s="161">
        <v>393704775363951.63</v>
      </c>
      <c r="T40" s="161">
        <v>410461374629358.69</v>
      </c>
      <c r="U40" s="161">
        <v>427217973894765.75</v>
      </c>
      <c r="V40" s="161">
        <v>443974573160172.88</v>
      </c>
      <c r="W40" s="161">
        <v>460731172425580</v>
      </c>
      <c r="X40" s="161">
        <v>473111984271964</v>
      </c>
      <c r="Y40" s="161">
        <v>485492796118348</v>
      </c>
      <c r="Z40" s="161">
        <v>497873607964728</v>
      </c>
      <c r="AA40" s="161">
        <v>510254419811112</v>
      </c>
      <c r="AB40" s="161">
        <v>522635231657490</v>
      </c>
      <c r="AC40" s="161">
        <v>533699442115984</v>
      </c>
      <c r="AD40" s="161">
        <v>544763652574472</v>
      </c>
      <c r="AE40" s="161">
        <v>555827863032964</v>
      </c>
      <c r="AF40" s="161">
        <v>566892073491452</v>
      </c>
      <c r="AG40" s="161">
        <v>577956283949940</v>
      </c>
      <c r="AH40" s="161">
        <v>589258434418292</v>
      </c>
      <c r="AI40" s="161">
        <v>600560584886644</v>
      </c>
      <c r="AJ40" s="161">
        <v>611862735354992</v>
      </c>
      <c r="AK40" s="161">
        <v>623164885823344</v>
      </c>
      <c r="AL40" s="161">
        <v>634467036291690</v>
      </c>
      <c r="AM40" s="440">
        <v>645451933413560</v>
      </c>
      <c r="AN40" s="440">
        <v>656653139635304</v>
      </c>
      <c r="AO40" s="440">
        <v>667854345857048</v>
      </c>
      <c r="AP40" s="440">
        <v>679055552078788</v>
      </c>
      <c r="AQ40" s="440">
        <v>690256758300532</v>
      </c>
      <c r="AR40" s="440">
        <v>701457964522276</v>
      </c>
      <c r="AS40" s="440">
        <v>712659170744016</v>
      </c>
      <c r="AT40" s="440">
        <v>723860376965760</v>
      </c>
      <c r="AU40" s="440">
        <v>735061583187504</v>
      </c>
      <c r="AV40" s="440">
        <v>746262789409244</v>
      </c>
      <c r="AW40" s="181"/>
    </row>
    <row r="41" spans="1:59" ht="33.75" customHeight="1">
      <c r="A41" s="455" t="s">
        <v>40</v>
      </c>
      <c r="B41" s="456"/>
      <c r="C41" s="456"/>
      <c r="D41" s="456"/>
      <c r="E41" s="456"/>
      <c r="F41" s="456"/>
      <c r="G41" s="456"/>
      <c r="H41" s="456"/>
      <c r="I41" s="456"/>
      <c r="J41" s="456"/>
      <c r="K41" s="456"/>
      <c r="L41" s="456"/>
      <c r="N41" s="450" t="s">
        <v>40</v>
      </c>
      <c r="O41" s="451"/>
      <c r="P41" s="451"/>
      <c r="Q41" s="451"/>
      <c r="R41" s="451"/>
      <c r="S41" s="451"/>
      <c r="T41" s="451"/>
      <c r="U41" s="451"/>
      <c r="V41" s="451"/>
      <c r="W41" s="451"/>
      <c r="X41" s="451"/>
      <c r="Y41" s="451"/>
      <c r="Z41" s="451"/>
      <c r="AA41" s="451"/>
      <c r="AB41" s="451"/>
      <c r="AC41" s="451"/>
      <c r="AD41" s="451"/>
      <c r="AE41" s="451"/>
      <c r="AF41" s="451"/>
      <c r="AG41" s="451"/>
      <c r="AH41" s="451"/>
      <c r="AI41" s="451"/>
      <c r="AJ41" s="451"/>
      <c r="AK41" s="451"/>
      <c r="AL41" s="451"/>
      <c r="AM41" s="38"/>
      <c r="AN41" s="38"/>
      <c r="AO41" s="38"/>
      <c r="AP41" s="38"/>
      <c r="AQ41" s="38"/>
      <c r="AR41" s="38"/>
      <c r="AS41" s="38"/>
      <c r="AT41" s="38"/>
      <c r="AU41" s="38"/>
      <c r="AV41" s="38"/>
    </row>
    <row r="42" spans="1:59">
      <c r="H42" s="66"/>
      <c r="I42" s="66"/>
      <c r="J42" s="67"/>
      <c r="K42" s="66"/>
      <c r="L42" s="66"/>
      <c r="M42" s="66"/>
      <c r="N42" s="66"/>
      <c r="O42" s="66"/>
      <c r="P42" s="66"/>
      <c r="Q42" s="66"/>
      <c r="R42" s="66"/>
      <c r="S42" s="66"/>
      <c r="T42" s="66"/>
      <c r="U42" s="66"/>
      <c r="V42" s="66"/>
    </row>
    <row r="43" spans="1:59">
      <c r="A43" s="299" t="s">
        <v>607</v>
      </c>
      <c r="C43" s="297"/>
      <c r="D43" s="298"/>
      <c r="L43" s="66"/>
      <c r="M43" s="66"/>
      <c r="N43" s="66"/>
      <c r="O43" s="66"/>
      <c r="P43" s="66"/>
      <c r="Q43" s="66"/>
      <c r="R43" s="66"/>
      <c r="S43" s="66"/>
      <c r="T43" s="66"/>
      <c r="U43" s="66"/>
      <c r="V43" s="66"/>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59">
      <c r="A44" s="436">
        <f>About!C70</f>
        <v>39656668310000</v>
      </c>
      <c r="B44" s="297" t="s">
        <v>29</v>
      </c>
      <c r="L44" s="66"/>
      <c r="M44" s="66"/>
      <c r="N44" s="66"/>
      <c r="O44" s="66"/>
      <c r="P44" s="66"/>
      <c r="Q44" s="66"/>
      <c r="R44" s="66"/>
      <c r="S44" s="66"/>
      <c r="T44" s="66"/>
      <c r="U44" s="66"/>
      <c r="V44" s="66"/>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59">
      <c r="L45" s="66"/>
      <c r="M45" s="66"/>
      <c r="N45" s="66"/>
      <c r="O45" s="66"/>
      <c r="P45" s="66"/>
      <c r="Q45" s="66"/>
      <c r="R45" s="66"/>
      <c r="S45" s="66"/>
      <c r="T45" s="66"/>
      <c r="U45" s="66"/>
      <c r="V45" s="66"/>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59">
      <c r="L46" s="66"/>
      <c r="M46" s="66"/>
      <c r="N46" s="471" t="s">
        <v>742</v>
      </c>
      <c r="O46" s="442" t="s">
        <v>743</v>
      </c>
      <c r="P46" s="442" t="s">
        <v>744</v>
      </c>
      <c r="Q46" s="442" t="s">
        <v>745</v>
      </c>
      <c r="R46" s="442" t="s">
        <v>746</v>
      </c>
      <c r="S46" s="442" t="s">
        <v>747</v>
      </c>
      <c r="T46" s="442" t="s">
        <v>748</v>
      </c>
      <c r="U46" s="442" t="s">
        <v>749</v>
      </c>
      <c r="V46" s="442" t="s">
        <v>750</v>
      </c>
      <c r="W46" s="442" t="s">
        <v>751</v>
      </c>
      <c r="X46" s="442" t="s">
        <v>752</v>
      </c>
      <c r="Y46" s="442" t="s">
        <v>753</v>
      </c>
      <c r="Z46" s="442" t="s">
        <v>754</v>
      </c>
      <c r="AA46" s="442" t="s">
        <v>755</v>
      </c>
      <c r="AB46" s="442" t="s">
        <v>756</v>
      </c>
      <c r="AC46" s="442" t="s">
        <v>757</v>
      </c>
      <c r="AD46" s="442" t="s">
        <v>758</v>
      </c>
      <c r="AE46" s="442" t="s">
        <v>759</v>
      </c>
      <c r="AF46" s="442" t="s">
        <v>760</v>
      </c>
      <c r="AG46" s="442" t="s">
        <v>761</v>
      </c>
      <c r="AH46" s="442" t="s">
        <v>762</v>
      </c>
      <c r="AI46" s="442" t="s">
        <v>763</v>
      </c>
      <c r="AJ46" s="442" t="s">
        <v>764</v>
      </c>
      <c r="AK46" s="442" t="s">
        <v>765</v>
      </c>
      <c r="AL46" s="442" t="s">
        <v>766</v>
      </c>
      <c r="AM46" s="442" t="s">
        <v>767</v>
      </c>
      <c r="AN46" s="442" t="s">
        <v>768</v>
      </c>
      <c r="AO46" s="442" t="s">
        <v>769</v>
      </c>
      <c r="AP46" s="442" t="s">
        <v>770</v>
      </c>
      <c r="AQ46" s="442" t="s">
        <v>771</v>
      </c>
      <c r="AR46" s="442" t="s">
        <v>772</v>
      </c>
      <c r="AS46" s="442" t="s">
        <v>773</v>
      </c>
      <c r="AT46" s="442" t="s">
        <v>774</v>
      </c>
      <c r="AU46" s="442" t="s">
        <v>775</v>
      </c>
      <c r="AV46" s="442" t="s">
        <v>776</v>
      </c>
      <c r="AW46" s="442" t="s">
        <v>777</v>
      </c>
      <c r="AX46" s="442" t="s">
        <v>778</v>
      </c>
      <c r="AY46" s="442" t="s">
        <v>779</v>
      </c>
      <c r="AZ46" s="442" t="s">
        <v>780</v>
      </c>
      <c r="BA46" s="442" t="s">
        <v>781</v>
      </c>
      <c r="BB46" s="442" t="s">
        <v>782</v>
      </c>
      <c r="BC46" s="442" t="s">
        <v>783</v>
      </c>
      <c r="BD46" s="442" t="s">
        <v>784</v>
      </c>
      <c r="BE46" s="442" t="s">
        <v>785</v>
      </c>
      <c r="BF46" s="442" t="s">
        <v>786</v>
      </c>
      <c r="BG46" s="442" t="s">
        <v>787</v>
      </c>
    </row>
    <row r="47" spans="1:59">
      <c r="L47" s="66"/>
      <c r="M47" s="66"/>
      <c r="N47" s="472" t="s">
        <v>467</v>
      </c>
      <c r="O47" s="187">
        <v>12570</v>
      </c>
      <c r="P47" s="187">
        <v>11319</v>
      </c>
      <c r="Q47" s="187">
        <v>11649</v>
      </c>
      <c r="R47" s="187">
        <v>11836</v>
      </c>
      <c r="S47" s="187">
        <v>12180</v>
      </c>
      <c r="T47" s="187">
        <v>11778</v>
      </c>
      <c r="U47" s="187">
        <v>12151</v>
      </c>
      <c r="V47" s="187">
        <v>12011</v>
      </c>
      <c r="W47" s="187">
        <v>11705</v>
      </c>
      <c r="X47" s="187">
        <v>11850</v>
      </c>
      <c r="Y47" s="187">
        <v>11829</v>
      </c>
      <c r="Z47" s="187">
        <v>12618</v>
      </c>
      <c r="AA47" s="187">
        <v>12540</v>
      </c>
      <c r="AB47" s="187">
        <v>11375</v>
      </c>
      <c r="AC47" s="187">
        <v>11838</v>
      </c>
      <c r="AD47" s="187">
        <v>11610</v>
      </c>
      <c r="AE47" s="187">
        <v>11766</v>
      </c>
      <c r="AF47" s="187">
        <v>11260</v>
      </c>
      <c r="AG47" s="187">
        <v>12291</v>
      </c>
      <c r="AH47" s="187">
        <v>12182</v>
      </c>
      <c r="AI47" s="187">
        <v>11635</v>
      </c>
      <c r="AJ47" s="187">
        <v>11668</v>
      </c>
      <c r="AK47" s="187">
        <v>12062</v>
      </c>
      <c r="AL47" s="187">
        <v>12675</v>
      </c>
      <c r="AM47" s="187">
        <v>12591</v>
      </c>
      <c r="AN47" s="187">
        <v>11328</v>
      </c>
      <c r="AO47" s="187">
        <v>11755</v>
      </c>
      <c r="AP47" s="187">
        <v>11079</v>
      </c>
      <c r="AQ47" s="187">
        <v>11286</v>
      </c>
      <c r="AR47" s="187">
        <v>11048</v>
      </c>
      <c r="AS47" s="187">
        <v>11512</v>
      </c>
      <c r="AT47" s="187">
        <v>11500</v>
      </c>
      <c r="AU47" s="187">
        <v>11560</v>
      </c>
      <c r="AV47" s="187">
        <v>11248</v>
      </c>
      <c r="AW47" s="187">
        <v>10922</v>
      </c>
      <c r="AX47" s="187">
        <v>12317</v>
      </c>
      <c r="AY47" s="187">
        <v>12184</v>
      </c>
      <c r="AZ47" s="187">
        <v>11336</v>
      </c>
      <c r="BA47" s="187">
        <v>12498</v>
      </c>
      <c r="BB47" s="187">
        <v>12006</v>
      </c>
      <c r="BC47" s="187">
        <v>12189</v>
      </c>
      <c r="BD47" s="187">
        <v>11928</v>
      </c>
      <c r="BE47" s="187">
        <v>12654</v>
      </c>
      <c r="BF47" s="187">
        <v>12626</v>
      </c>
      <c r="BG47" s="187">
        <v>12531</v>
      </c>
    </row>
    <row r="48" spans="1:59">
      <c r="L48" s="66"/>
      <c r="M48" s="66"/>
      <c r="N48" s="472" t="s">
        <v>36</v>
      </c>
      <c r="O48" s="187">
        <v>2722</v>
      </c>
      <c r="P48" s="187">
        <v>2441</v>
      </c>
      <c r="Q48" s="187">
        <v>2589</v>
      </c>
      <c r="R48" s="187">
        <v>2626</v>
      </c>
      <c r="S48" s="187">
        <v>2760</v>
      </c>
      <c r="T48" s="187">
        <v>2739</v>
      </c>
      <c r="U48" s="187">
        <v>2729</v>
      </c>
      <c r="V48" s="187">
        <v>2728</v>
      </c>
      <c r="W48" s="187">
        <v>2485</v>
      </c>
      <c r="X48" s="187">
        <v>2691</v>
      </c>
      <c r="Y48" s="187">
        <v>2751</v>
      </c>
      <c r="Z48" s="187">
        <v>2786</v>
      </c>
      <c r="AA48" s="187">
        <v>2602</v>
      </c>
      <c r="AB48" s="187">
        <v>2589</v>
      </c>
      <c r="AC48" s="187">
        <v>2720</v>
      </c>
      <c r="AD48" s="187">
        <v>2654</v>
      </c>
      <c r="AE48" s="187">
        <v>2694</v>
      </c>
      <c r="AF48" s="187">
        <v>2643</v>
      </c>
      <c r="AG48" s="187">
        <v>2656</v>
      </c>
      <c r="AH48" s="187">
        <v>2745</v>
      </c>
      <c r="AI48" s="187">
        <v>2419</v>
      </c>
      <c r="AJ48" s="187">
        <v>2718</v>
      </c>
      <c r="AK48" s="187">
        <v>2640</v>
      </c>
      <c r="AL48" s="187">
        <v>2672</v>
      </c>
      <c r="AM48" s="187">
        <v>2645</v>
      </c>
      <c r="AN48" s="187">
        <v>2323</v>
      </c>
      <c r="AO48" s="187">
        <v>2558</v>
      </c>
      <c r="AP48" s="187">
        <v>2382</v>
      </c>
      <c r="AQ48" s="187">
        <v>2280</v>
      </c>
      <c r="AR48" s="187">
        <v>2374</v>
      </c>
      <c r="AS48" s="187">
        <v>2555</v>
      </c>
      <c r="AT48" s="187">
        <v>2597</v>
      </c>
      <c r="AU48" s="187">
        <v>2605</v>
      </c>
      <c r="AV48" s="187">
        <v>2597</v>
      </c>
      <c r="AW48" s="187">
        <v>2494</v>
      </c>
      <c r="AX48" s="187">
        <v>2808</v>
      </c>
      <c r="AY48" s="187">
        <v>2683</v>
      </c>
      <c r="AZ48" s="187">
        <v>2347</v>
      </c>
      <c r="BA48" s="187">
        <v>2784</v>
      </c>
      <c r="BB48" s="187">
        <v>2552</v>
      </c>
      <c r="BC48" s="187">
        <v>2702</v>
      </c>
      <c r="BD48" s="187">
        <v>2472</v>
      </c>
      <c r="BE48" s="187">
        <v>2688</v>
      </c>
      <c r="BF48" s="187">
        <v>2747</v>
      </c>
      <c r="BG48" s="187">
        <v>2650</v>
      </c>
    </row>
    <row r="49" spans="12:59">
      <c r="L49" s="66"/>
      <c r="M49" s="66"/>
      <c r="N49" s="472" t="s">
        <v>37</v>
      </c>
      <c r="O49" s="187">
        <v>6061</v>
      </c>
      <c r="P49" s="187">
        <v>5444</v>
      </c>
      <c r="Q49" s="187">
        <v>5613</v>
      </c>
      <c r="R49" s="187">
        <v>5829</v>
      </c>
      <c r="S49" s="187">
        <v>6032</v>
      </c>
      <c r="T49" s="187">
        <v>5656</v>
      </c>
      <c r="U49" s="187">
        <v>5906</v>
      </c>
      <c r="V49" s="187">
        <v>5742</v>
      </c>
      <c r="W49" s="187">
        <v>5840</v>
      </c>
      <c r="X49" s="187">
        <v>5673</v>
      </c>
      <c r="Y49" s="187">
        <v>5458</v>
      </c>
      <c r="Z49" s="187">
        <v>6039</v>
      </c>
      <c r="AA49" s="187">
        <v>6090</v>
      </c>
      <c r="AB49" s="187">
        <v>5431</v>
      </c>
      <c r="AC49" s="187">
        <v>5536</v>
      </c>
      <c r="AD49" s="187">
        <v>5416</v>
      </c>
      <c r="AE49" s="187">
        <v>5634</v>
      </c>
      <c r="AF49" s="187">
        <v>5244</v>
      </c>
      <c r="AG49" s="187">
        <v>6166</v>
      </c>
      <c r="AH49" s="187">
        <v>5932</v>
      </c>
      <c r="AI49" s="187">
        <v>5918</v>
      </c>
      <c r="AJ49" s="187">
        <v>5562</v>
      </c>
      <c r="AK49" s="187">
        <v>5942</v>
      </c>
      <c r="AL49" s="187">
        <v>6344</v>
      </c>
      <c r="AM49" s="187">
        <v>6249</v>
      </c>
      <c r="AN49" s="187">
        <v>5462</v>
      </c>
      <c r="AO49" s="187">
        <v>5583</v>
      </c>
      <c r="AP49" s="187">
        <v>5342</v>
      </c>
      <c r="AQ49" s="187">
        <v>5871</v>
      </c>
      <c r="AR49" s="187">
        <v>5492</v>
      </c>
      <c r="AS49" s="187">
        <v>5611</v>
      </c>
      <c r="AT49" s="187">
        <v>5553</v>
      </c>
      <c r="AU49" s="187">
        <v>5476</v>
      </c>
      <c r="AV49" s="187">
        <v>5309</v>
      </c>
      <c r="AW49" s="187">
        <v>4893</v>
      </c>
      <c r="AX49" s="187">
        <v>5644</v>
      </c>
      <c r="AY49" s="187">
        <v>5622</v>
      </c>
      <c r="AZ49" s="187">
        <v>5520</v>
      </c>
      <c r="BA49" s="187">
        <v>6117</v>
      </c>
      <c r="BB49" s="187">
        <v>5926</v>
      </c>
      <c r="BC49" s="187">
        <v>5984</v>
      </c>
      <c r="BD49" s="187">
        <v>5982</v>
      </c>
      <c r="BE49" s="187">
        <v>6304</v>
      </c>
      <c r="BF49" s="187">
        <v>6332</v>
      </c>
      <c r="BG49" s="187">
        <v>6410</v>
      </c>
    </row>
    <row r="50" spans="12:59">
      <c r="L50" s="66"/>
      <c r="M50" s="66"/>
      <c r="N50" s="472" t="s">
        <v>148</v>
      </c>
      <c r="O50" s="187">
        <v>138</v>
      </c>
      <c r="P50" s="187">
        <v>121</v>
      </c>
      <c r="Q50" s="187">
        <v>120</v>
      </c>
      <c r="R50" s="187">
        <v>92</v>
      </c>
      <c r="S50" s="187">
        <v>132</v>
      </c>
      <c r="T50" s="187">
        <v>180</v>
      </c>
      <c r="U50" s="187">
        <v>206</v>
      </c>
      <c r="V50" s="187">
        <v>210</v>
      </c>
      <c r="W50" s="187">
        <v>178</v>
      </c>
      <c r="X50" s="187">
        <v>206</v>
      </c>
      <c r="Y50" s="187">
        <v>229</v>
      </c>
      <c r="Z50" s="187">
        <v>226</v>
      </c>
      <c r="AA50" s="187">
        <v>234</v>
      </c>
      <c r="AB50" s="187">
        <v>219</v>
      </c>
      <c r="AC50" s="187">
        <v>196</v>
      </c>
      <c r="AD50" s="187">
        <v>227</v>
      </c>
      <c r="AE50" s="187">
        <v>199</v>
      </c>
      <c r="AF50" s="187">
        <v>237</v>
      </c>
      <c r="AG50" s="187">
        <v>274</v>
      </c>
      <c r="AH50" s="187">
        <v>286</v>
      </c>
      <c r="AI50" s="187">
        <v>242</v>
      </c>
      <c r="AJ50" s="187">
        <v>249</v>
      </c>
      <c r="AK50" s="187">
        <v>260</v>
      </c>
      <c r="AL50" s="187">
        <v>288</v>
      </c>
      <c r="AM50" s="187">
        <v>282</v>
      </c>
      <c r="AN50" s="187">
        <v>284</v>
      </c>
      <c r="AO50" s="187">
        <v>286</v>
      </c>
      <c r="AP50" s="187">
        <v>268</v>
      </c>
      <c r="AQ50" s="187">
        <v>273</v>
      </c>
      <c r="AR50" s="187">
        <v>302</v>
      </c>
      <c r="AS50" s="187">
        <v>318</v>
      </c>
      <c r="AT50" s="187">
        <v>327</v>
      </c>
      <c r="AU50" s="187">
        <v>304</v>
      </c>
      <c r="AV50" s="187">
        <v>314</v>
      </c>
      <c r="AW50" s="187">
        <v>309</v>
      </c>
      <c r="AX50" s="187">
        <v>334</v>
      </c>
      <c r="AY50" s="187">
        <v>266</v>
      </c>
      <c r="AZ50" s="187">
        <v>236</v>
      </c>
      <c r="BA50" s="187">
        <v>272</v>
      </c>
      <c r="BB50" s="187">
        <v>288</v>
      </c>
      <c r="BC50" s="187">
        <v>285</v>
      </c>
      <c r="BD50" s="187">
        <v>313</v>
      </c>
      <c r="BE50" s="187">
        <v>347</v>
      </c>
      <c r="BF50" s="187">
        <v>323</v>
      </c>
      <c r="BG50" s="187">
        <v>279</v>
      </c>
    </row>
    <row r="51" spans="12:59">
      <c r="L51" s="66"/>
      <c r="M51" s="66"/>
      <c r="N51" s="472" t="s">
        <v>85</v>
      </c>
      <c r="O51" s="187">
        <v>938</v>
      </c>
      <c r="P51" s="187">
        <v>800</v>
      </c>
      <c r="Q51" s="187">
        <v>776</v>
      </c>
      <c r="R51" s="187">
        <v>718</v>
      </c>
      <c r="S51" s="187">
        <v>701</v>
      </c>
      <c r="T51" s="187">
        <v>678</v>
      </c>
      <c r="U51" s="187">
        <v>674</v>
      </c>
      <c r="V51" s="187">
        <v>650</v>
      </c>
      <c r="W51" s="187">
        <v>647</v>
      </c>
      <c r="X51" s="187">
        <v>751</v>
      </c>
      <c r="Y51" s="187">
        <v>803</v>
      </c>
      <c r="Z51" s="187">
        <v>892</v>
      </c>
      <c r="AA51" s="187">
        <v>880</v>
      </c>
      <c r="AB51" s="187">
        <v>725</v>
      </c>
      <c r="AC51" s="187">
        <v>795</v>
      </c>
      <c r="AD51" s="187">
        <v>772</v>
      </c>
      <c r="AE51" s="187">
        <v>712</v>
      </c>
      <c r="AF51" s="187">
        <v>664</v>
      </c>
      <c r="AG51" s="187">
        <v>632</v>
      </c>
      <c r="AH51" s="187">
        <v>576</v>
      </c>
      <c r="AI51" s="187">
        <v>583</v>
      </c>
      <c r="AJ51" s="187">
        <v>668</v>
      </c>
      <c r="AK51" s="187">
        <v>738</v>
      </c>
      <c r="AL51" s="187">
        <v>796</v>
      </c>
      <c r="AM51" s="187">
        <v>780</v>
      </c>
      <c r="AN51" s="187">
        <v>744</v>
      </c>
      <c r="AO51" s="187">
        <v>741</v>
      </c>
      <c r="AP51" s="187">
        <v>643</v>
      </c>
      <c r="AQ51" s="187">
        <v>541</v>
      </c>
      <c r="AR51" s="187">
        <v>525</v>
      </c>
      <c r="AS51" s="187">
        <v>538</v>
      </c>
      <c r="AT51" s="187">
        <v>512</v>
      </c>
      <c r="AU51" s="187">
        <v>593</v>
      </c>
      <c r="AV51" s="187">
        <v>633</v>
      </c>
      <c r="AW51" s="187">
        <v>706</v>
      </c>
      <c r="AX51" s="187">
        <v>857</v>
      </c>
      <c r="AY51" s="187">
        <v>935</v>
      </c>
      <c r="AZ51" s="187">
        <v>801</v>
      </c>
      <c r="BA51" s="187">
        <v>743</v>
      </c>
      <c r="BB51" s="187">
        <v>690</v>
      </c>
      <c r="BC51" s="187">
        <v>668</v>
      </c>
      <c r="BD51" s="187">
        <v>638</v>
      </c>
      <c r="BE51" s="187">
        <v>635</v>
      </c>
      <c r="BF51" s="187">
        <v>613</v>
      </c>
      <c r="BG51" s="187">
        <v>619</v>
      </c>
    </row>
    <row r="52" spans="12:59">
      <c r="L52" s="66"/>
      <c r="M52" s="66"/>
      <c r="N52" s="472" t="s">
        <v>482</v>
      </c>
      <c r="O52" s="187">
        <v>2126</v>
      </c>
      <c r="P52" s="187">
        <v>1972</v>
      </c>
      <c r="Q52" s="187">
        <v>2002</v>
      </c>
      <c r="R52" s="187">
        <v>2019</v>
      </c>
      <c r="S52" s="187">
        <v>2005</v>
      </c>
      <c r="T52" s="187">
        <v>1982</v>
      </c>
      <c r="U52" s="187">
        <v>2069</v>
      </c>
      <c r="V52" s="187">
        <v>2105</v>
      </c>
      <c r="W52" s="187">
        <v>2005</v>
      </c>
      <c r="X52" s="187">
        <v>1985</v>
      </c>
      <c r="Y52" s="187">
        <v>2031</v>
      </c>
      <c r="Z52" s="187">
        <v>2098</v>
      </c>
      <c r="AA52" s="187">
        <v>2159</v>
      </c>
      <c r="AB52" s="187">
        <v>1903</v>
      </c>
      <c r="AC52" s="187">
        <v>2046</v>
      </c>
      <c r="AD52" s="187">
        <v>2005</v>
      </c>
      <c r="AE52" s="187">
        <v>1995</v>
      </c>
      <c r="AF52" s="187">
        <v>1951</v>
      </c>
      <c r="AG52" s="187">
        <v>2022</v>
      </c>
      <c r="AH52" s="187">
        <v>2086</v>
      </c>
      <c r="AI52" s="187">
        <v>1952</v>
      </c>
      <c r="AJ52" s="187">
        <v>1951</v>
      </c>
      <c r="AK52" s="187">
        <v>1958</v>
      </c>
      <c r="AL52" s="187">
        <v>2032</v>
      </c>
      <c r="AM52" s="187">
        <v>2045</v>
      </c>
      <c r="AN52" s="187">
        <v>1951</v>
      </c>
      <c r="AO52" s="187">
        <v>2006</v>
      </c>
      <c r="AP52" s="187">
        <v>1896</v>
      </c>
      <c r="AQ52" s="187">
        <v>1800</v>
      </c>
      <c r="AR52" s="187">
        <v>1827</v>
      </c>
      <c r="AS52" s="187">
        <v>1930</v>
      </c>
      <c r="AT52" s="187">
        <v>1948</v>
      </c>
      <c r="AU52" s="187">
        <v>2002</v>
      </c>
      <c r="AV52" s="187">
        <v>1857</v>
      </c>
      <c r="AW52" s="187">
        <v>1954</v>
      </c>
      <c r="AX52" s="187">
        <v>2073</v>
      </c>
      <c r="AY52" s="187">
        <v>2112</v>
      </c>
      <c r="AZ52" s="187">
        <v>1928</v>
      </c>
      <c r="BA52" s="187">
        <v>2016</v>
      </c>
      <c r="BB52" s="187">
        <v>1975</v>
      </c>
      <c r="BC52" s="187">
        <v>1976</v>
      </c>
      <c r="BD52" s="187">
        <v>1978</v>
      </c>
      <c r="BE52" s="187">
        <v>2102</v>
      </c>
      <c r="BF52" s="187">
        <v>2054</v>
      </c>
      <c r="BG52" s="187">
        <v>2039</v>
      </c>
    </row>
    <row r="53" spans="12:59">
      <c r="L53" s="66"/>
      <c r="M53" s="66"/>
      <c r="N53" s="473" t="s">
        <v>788</v>
      </c>
      <c r="O53" s="187">
        <v>583</v>
      </c>
      <c r="P53" s="187">
        <v>541</v>
      </c>
      <c r="Q53" s="187">
        <v>549</v>
      </c>
      <c r="R53" s="187">
        <v>554</v>
      </c>
      <c r="S53" s="187">
        <v>550</v>
      </c>
      <c r="T53" s="187">
        <v>544</v>
      </c>
      <c r="U53" s="187">
        <v>567</v>
      </c>
      <c r="V53" s="187">
        <v>577</v>
      </c>
      <c r="W53" s="187">
        <v>550</v>
      </c>
      <c r="X53" s="187">
        <v>544</v>
      </c>
      <c r="Y53" s="187">
        <v>557</v>
      </c>
      <c r="Z53" s="187">
        <v>576</v>
      </c>
      <c r="AA53" s="187">
        <v>577</v>
      </c>
      <c r="AB53" s="187">
        <v>508</v>
      </c>
      <c r="AC53" s="187">
        <v>546</v>
      </c>
      <c r="AD53" s="187">
        <v>536</v>
      </c>
      <c r="AE53" s="187">
        <v>533</v>
      </c>
      <c r="AF53" s="187">
        <v>521</v>
      </c>
      <c r="AG53" s="187">
        <v>540</v>
      </c>
      <c r="AH53" s="187">
        <v>557</v>
      </c>
      <c r="AI53" s="187">
        <v>521</v>
      </c>
      <c r="AJ53" s="187">
        <v>521</v>
      </c>
      <c r="AK53" s="187">
        <v>523</v>
      </c>
      <c r="AL53" s="187">
        <v>543</v>
      </c>
      <c r="AM53" s="187">
        <v>592</v>
      </c>
      <c r="AN53" s="187">
        <v>565</v>
      </c>
      <c r="AO53" s="187">
        <v>581</v>
      </c>
      <c r="AP53" s="187">
        <v>549</v>
      </c>
      <c r="AQ53" s="187">
        <v>521</v>
      </c>
      <c r="AR53" s="187">
        <v>529</v>
      </c>
      <c r="AS53" s="187">
        <v>559</v>
      </c>
      <c r="AT53" s="187">
        <v>564</v>
      </c>
      <c r="AU53" s="187">
        <v>580</v>
      </c>
      <c r="AV53" s="187">
        <v>538</v>
      </c>
      <c r="AW53" s="187">
        <v>566</v>
      </c>
      <c r="AX53" s="187">
        <v>600</v>
      </c>
      <c r="AY53" s="187">
        <v>567</v>
      </c>
      <c r="AZ53" s="187">
        <v>505</v>
      </c>
      <c r="BA53" s="187">
        <v>566</v>
      </c>
      <c r="BB53" s="187">
        <v>576</v>
      </c>
      <c r="BC53" s="187">
        <v>574</v>
      </c>
      <c r="BD53" s="187">
        <v>545</v>
      </c>
      <c r="BE53" s="187">
        <v>579</v>
      </c>
      <c r="BF53" s="187">
        <v>558</v>
      </c>
      <c r="BG53" s="187">
        <v>534</v>
      </c>
    </row>
    <row r="54" spans="12:59">
      <c r="L54" s="66"/>
      <c r="M54" s="66"/>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row>
    <row r="55" spans="12:59">
      <c r="L55" s="66"/>
      <c r="M55" s="66"/>
      <c r="N55" s="185"/>
      <c r="O55" s="474">
        <v>2018</v>
      </c>
      <c r="P55" s="474">
        <v>2019</v>
      </c>
      <c r="Q55" s="474">
        <v>2020</v>
      </c>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row>
    <row r="56" spans="12:59">
      <c r="L56" s="66"/>
      <c r="M56" s="66"/>
      <c r="N56" s="472" t="s">
        <v>467</v>
      </c>
      <c r="O56" s="475">
        <f>SUM(O47:Z47)</f>
        <v>143496</v>
      </c>
      <c r="P56" s="475">
        <f>SUM(AA47:AL47)</f>
        <v>142902</v>
      </c>
      <c r="Q56" s="475">
        <f>SUM(AM47:AX47)</f>
        <v>138146</v>
      </c>
      <c r="R56" s="185"/>
      <c r="S56" s="185"/>
      <c r="T56" s="185"/>
      <c r="U56" s="185">
        <v>2837044297264080</v>
      </c>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row>
    <row r="57" spans="12:59">
      <c r="L57" s="66"/>
      <c r="M57" s="66"/>
      <c r="N57" s="472" t="s">
        <v>36</v>
      </c>
      <c r="O57" s="475">
        <f>SUM(O48:Z48)</f>
        <v>32047</v>
      </c>
      <c r="P57" s="475">
        <f>SUM(AA48:AL48)</f>
        <v>31752</v>
      </c>
      <c r="Q57" s="475">
        <f>SUM(AM48:AX48)</f>
        <v>30218</v>
      </c>
      <c r="R57" s="185"/>
      <c r="S57" s="185"/>
      <c r="T57" s="185"/>
      <c r="U57" s="185">
        <v>8189147173063.1895</v>
      </c>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row>
    <row r="58" spans="12:59">
      <c r="L58" s="66"/>
      <c r="M58" s="66"/>
      <c r="N58" s="472" t="s">
        <v>37</v>
      </c>
      <c r="O58" s="475">
        <f>SUM(O49:Z49)</f>
        <v>69293</v>
      </c>
      <c r="P58" s="475">
        <f>SUM(AA49:AL49)</f>
        <v>69215</v>
      </c>
      <c r="Q58" s="475">
        <f>SUM(AM49:AX49)</f>
        <v>66485</v>
      </c>
      <c r="R58" s="185"/>
      <c r="S58" s="185"/>
      <c r="T58" s="185"/>
      <c r="U58" s="185">
        <v>2370035875705593.5</v>
      </c>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c r="BD58" s="185"/>
      <c r="BE58" s="185"/>
      <c r="BF58" s="185"/>
      <c r="BG58" s="185"/>
    </row>
    <row r="59" spans="12:59">
      <c r="L59" s="66"/>
      <c r="M59" s="66"/>
      <c r="N59" s="472" t="s">
        <v>148</v>
      </c>
      <c r="O59" s="475">
        <f>SUM(O50:Z50)</f>
        <v>2038</v>
      </c>
      <c r="P59" s="475">
        <f>SUM(AA50:AL50)</f>
        <v>2911</v>
      </c>
      <c r="Q59" s="475">
        <f>SUM(AM50:AX50)</f>
        <v>3601</v>
      </c>
      <c r="R59" s="185"/>
      <c r="S59" s="185"/>
      <c r="T59" s="185"/>
      <c r="U59" s="185">
        <v>255967507075801.97</v>
      </c>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row>
    <row r="60" spans="12:59">
      <c r="L60" s="66"/>
      <c r="M60" s="66"/>
      <c r="N60" s="472" t="s">
        <v>85</v>
      </c>
      <c r="O60" s="475">
        <f>SUM(O51:Z51)</f>
        <v>9028</v>
      </c>
      <c r="P60" s="475">
        <f>SUM(AA51:AL51)</f>
        <v>8541</v>
      </c>
      <c r="Q60" s="475">
        <f>SUM(AM51:AX51)</f>
        <v>7813</v>
      </c>
      <c r="R60" s="185"/>
      <c r="S60" s="185"/>
      <c r="T60" s="185"/>
      <c r="U60" s="185">
        <v>202851767309621.31</v>
      </c>
      <c r="V60" s="185"/>
      <c r="W60" s="185"/>
      <c r="X60" s="185"/>
      <c r="Y60" s="185"/>
      <c r="Z60" s="185"/>
      <c r="AA60" s="185"/>
      <c r="AB60" s="185"/>
      <c r="AC60" s="185"/>
      <c r="AD60" s="185"/>
      <c r="AE60" s="185"/>
      <c r="AF60" s="185"/>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row>
    <row r="61" spans="12:59">
      <c r="L61" s="66"/>
      <c r="M61" s="66"/>
      <c r="N61" s="472" t="s">
        <v>482</v>
      </c>
      <c r="O61" s="475">
        <f>SUM(O52:Z52)</f>
        <v>24399</v>
      </c>
      <c r="P61" s="475">
        <f>SUM(AA52:AL52)</f>
        <v>24060</v>
      </c>
      <c r="Q61" s="475">
        <f>SUM(AM52:AX52)</f>
        <v>23289</v>
      </c>
      <c r="R61" s="185"/>
      <c r="S61" s="185"/>
      <c r="T61" s="185"/>
      <c r="U61" s="185">
        <v>0</v>
      </c>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row>
    <row r="62" spans="12:59">
      <c r="L62" s="66"/>
      <c r="M62" s="66"/>
      <c r="N62" s="473" t="s">
        <v>788</v>
      </c>
      <c r="O62" s="475">
        <f>SUM(O53:Z53)</f>
        <v>6692</v>
      </c>
      <c r="P62" s="475">
        <f>SUM(AA53:AL53)</f>
        <v>6426</v>
      </c>
      <c r="Q62" s="475">
        <f>SUM(AM53:AX53)</f>
        <v>6744</v>
      </c>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row>
    <row r="63" spans="12:59">
      <c r="L63" s="66"/>
      <c r="M63" s="66"/>
      <c r="N63" s="185"/>
      <c r="O63" s="185"/>
      <c r="P63" s="185"/>
      <c r="Q63" s="185"/>
      <c r="R63" s="185"/>
      <c r="S63" s="185"/>
      <c r="T63" s="185"/>
      <c r="U63" s="185">
        <v>180318803281272.25</v>
      </c>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c r="BD63" s="185"/>
      <c r="BE63" s="185"/>
      <c r="BF63" s="185"/>
      <c r="BG63" s="185"/>
    </row>
    <row r="64" spans="12:59">
      <c r="L64" s="66"/>
      <c r="M64" s="66"/>
      <c r="N64" s="472" t="s">
        <v>467</v>
      </c>
      <c r="O64" s="185"/>
      <c r="P64" s="476">
        <f>(P56-O56)/O56</f>
        <v>-4.1394882087305573E-3</v>
      </c>
      <c r="Q64" s="476">
        <f t="shared" ref="Q64:Q70" si="3">(Q56-P56)/P56</f>
        <v>-3.3281549593427662E-2</v>
      </c>
      <c r="R64" s="185"/>
      <c r="S64" s="185"/>
      <c r="T64" s="185"/>
      <c r="U64" s="185">
        <v>82115831927154.172</v>
      </c>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c r="BD64" s="185"/>
      <c r="BE64" s="185"/>
      <c r="BF64" s="185"/>
      <c r="BG64" s="185"/>
    </row>
    <row r="65" spans="8:59">
      <c r="L65" s="66"/>
      <c r="M65" s="66"/>
      <c r="N65" s="472" t="s">
        <v>36</v>
      </c>
      <c r="O65" s="185"/>
      <c r="P65" s="476">
        <f t="shared" ref="P65:Q70" si="4">(P57-O57)/O57</f>
        <v>-9.2052298187037789E-3</v>
      </c>
      <c r="Q65" s="476">
        <f t="shared" si="3"/>
        <v>-4.831191735953641E-2</v>
      </c>
      <c r="R65" s="185"/>
      <c r="S65" s="185"/>
      <c r="T65" s="185"/>
      <c r="U65" s="185">
        <v>20318506897424.656</v>
      </c>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c r="BD65" s="185"/>
      <c r="BE65" s="185"/>
      <c r="BF65" s="185"/>
      <c r="BG65" s="185"/>
    </row>
    <row r="66" spans="8:59">
      <c r="L66" s="66"/>
      <c r="M66" s="66"/>
      <c r="N66" s="472" t="s">
        <v>37</v>
      </c>
      <c r="O66" s="185"/>
      <c r="P66" s="476">
        <f t="shared" si="4"/>
        <v>-1.1256548280490094E-3</v>
      </c>
      <c r="Q66" s="476">
        <f t="shared" si="3"/>
        <v>-3.9442317416744928E-2</v>
      </c>
      <c r="R66" s="185"/>
      <c r="S66" s="185"/>
      <c r="T66" s="185"/>
      <c r="U66" s="185">
        <v>38328559094022.359</v>
      </c>
      <c r="V66" s="185"/>
      <c r="W66" s="185"/>
      <c r="X66" s="185"/>
      <c r="Y66" s="185"/>
      <c r="Z66" s="185"/>
      <c r="AA66" s="185"/>
      <c r="AB66" s="185"/>
      <c r="AC66" s="185"/>
      <c r="AD66" s="185"/>
      <c r="AE66" s="185"/>
      <c r="AF66" s="185"/>
      <c r="AG66" s="185"/>
      <c r="AH66" s="185"/>
      <c r="AI66" s="185"/>
      <c r="AJ66" s="185"/>
      <c r="AK66" s="185"/>
      <c r="AL66" s="185"/>
      <c r="AM66" s="185"/>
      <c r="AN66" s="185"/>
      <c r="AO66" s="185"/>
      <c r="AP66" s="185"/>
      <c r="AQ66" s="185"/>
      <c r="AR66" s="185"/>
      <c r="AS66" s="185"/>
      <c r="AT66" s="185"/>
      <c r="AU66" s="185"/>
      <c r="AV66" s="185"/>
      <c r="AW66" s="185"/>
      <c r="AX66" s="185"/>
      <c r="AY66" s="185"/>
      <c r="AZ66" s="185"/>
      <c r="BA66" s="185"/>
      <c r="BB66" s="185"/>
      <c r="BC66" s="185"/>
      <c r="BD66" s="185"/>
      <c r="BE66" s="185"/>
      <c r="BF66" s="185"/>
      <c r="BG66" s="185"/>
    </row>
    <row r="67" spans="8:59">
      <c r="L67" s="66"/>
      <c r="M67" s="66"/>
      <c r="N67" s="472" t="s">
        <v>148</v>
      </c>
      <c r="O67" s="185"/>
      <c r="P67" s="476">
        <f t="shared" si="4"/>
        <v>0.42836113837095191</v>
      </c>
      <c r="Q67" s="476">
        <f t="shared" si="3"/>
        <v>0.23703194778426656</v>
      </c>
      <c r="R67" s="185"/>
      <c r="S67" s="185"/>
      <c r="T67" s="185"/>
      <c r="U67" s="185">
        <v>39555905362671.078</v>
      </c>
      <c r="V67" s="185"/>
      <c r="W67" s="185"/>
      <c r="X67" s="185"/>
      <c r="Y67" s="185"/>
      <c r="Z67" s="185"/>
      <c r="AA67" s="185"/>
      <c r="AB67" s="185"/>
      <c r="AC67" s="185"/>
      <c r="AD67" s="185"/>
      <c r="AE67" s="185"/>
      <c r="AF67" s="185"/>
      <c r="AG67" s="185"/>
      <c r="AH67" s="185"/>
      <c r="AI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row>
    <row r="68" spans="8:59">
      <c r="H68" s="66"/>
      <c r="I68" s="66"/>
      <c r="J68" s="67"/>
      <c r="K68" s="66"/>
      <c r="L68" s="66"/>
      <c r="M68" s="66"/>
      <c r="N68" s="472" t="s">
        <v>85</v>
      </c>
      <c r="O68" s="185"/>
      <c r="P68" s="476">
        <f t="shared" si="4"/>
        <v>-5.3943287549844926E-2</v>
      </c>
      <c r="Q68" s="476">
        <f t="shared" si="3"/>
        <v>-8.5235920852359204E-2</v>
      </c>
      <c r="R68" s="185"/>
      <c r="S68" s="185"/>
      <c r="T68" s="185"/>
      <c r="U68" s="185">
        <v>0</v>
      </c>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row>
    <row r="69" spans="8:59">
      <c r="H69" s="66"/>
      <c r="I69" s="66"/>
      <c r="J69" s="67"/>
      <c r="K69" s="66"/>
      <c r="L69" s="66"/>
      <c r="M69" s="66"/>
      <c r="N69" s="472" t="s">
        <v>482</v>
      </c>
      <c r="O69" s="185"/>
      <c r="P69" s="476">
        <f t="shared" si="4"/>
        <v>-1.3894012049674167E-2</v>
      </c>
      <c r="Q69" s="476">
        <f t="shared" si="3"/>
        <v>-3.2044887780548627E-2</v>
      </c>
      <c r="R69" s="185"/>
      <c r="S69" s="185"/>
      <c r="T69" s="185"/>
      <c r="U69" s="185"/>
      <c r="V69" s="185"/>
      <c r="W69" s="185"/>
      <c r="X69" s="185"/>
      <c r="Y69" s="185"/>
      <c r="Z69" s="185"/>
      <c r="AA69" s="185"/>
      <c r="AB69" s="185"/>
      <c r="AC69" s="185"/>
      <c r="AD69" s="185"/>
      <c r="AE69" s="185"/>
      <c r="AF69" s="185"/>
      <c r="AG69" s="185"/>
      <c r="AH69" s="185"/>
      <c r="AI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row>
    <row r="70" spans="8:59">
      <c r="H70" s="66"/>
      <c r="I70" s="66"/>
      <c r="J70" s="67"/>
      <c r="K70" s="66"/>
      <c r="L70" s="66"/>
      <c r="M70" s="66"/>
      <c r="N70" s="473" t="s">
        <v>788</v>
      </c>
      <c r="O70" s="185"/>
      <c r="P70" s="476">
        <f t="shared" si="4"/>
        <v>-3.9748953974895397E-2</v>
      </c>
      <c r="Q70" s="476">
        <f t="shared" si="3"/>
        <v>4.9486461251167131E-2</v>
      </c>
      <c r="R70" s="185"/>
      <c r="S70" s="185"/>
      <c r="T70" s="185"/>
      <c r="U70" s="185">
        <v>1187921133284383.3</v>
      </c>
      <c r="V70" s="185"/>
      <c r="W70" s="185"/>
      <c r="X70" s="185"/>
      <c r="Y70" s="185"/>
      <c r="Z70" s="185"/>
      <c r="AA70" s="185"/>
      <c r="AB70" s="185"/>
      <c r="AC70" s="185"/>
      <c r="AD70" s="185"/>
      <c r="AE70" s="185"/>
      <c r="AF70" s="185"/>
      <c r="AG70" s="185"/>
      <c r="AH70" s="185"/>
      <c r="AI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row>
    <row r="71" spans="8:59">
      <c r="H71" s="66"/>
      <c r="I71" s="66"/>
      <c r="J71" s="67"/>
      <c r="K71" s="66"/>
      <c r="L71" s="66"/>
      <c r="M71" s="66"/>
      <c r="N71" s="185"/>
      <c r="O71" s="185"/>
      <c r="P71" s="185"/>
      <c r="Q71" s="185"/>
      <c r="R71" s="185"/>
      <c r="S71" s="185"/>
      <c r="T71" s="185"/>
      <c r="U71" s="185">
        <v>955882391300330.88</v>
      </c>
      <c r="V71" s="185"/>
      <c r="W71" s="185"/>
      <c r="X71" s="185"/>
      <c r="Y71" s="185"/>
      <c r="Z71" s="185"/>
      <c r="AA71" s="185"/>
      <c r="AB71" s="185"/>
      <c r="AC71" s="185"/>
      <c r="AD71" s="185"/>
      <c r="AE71" s="185"/>
      <c r="AF71" s="185"/>
      <c r="AG71" s="185"/>
      <c r="AH71" s="185"/>
      <c r="AI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row>
    <row r="72" spans="8:59">
      <c r="H72" s="66"/>
      <c r="I72" s="66"/>
      <c r="J72" s="67"/>
      <c r="K72" s="66"/>
      <c r="L72" s="66"/>
      <c r="M72" s="66"/>
      <c r="N72" s="472" t="s">
        <v>467</v>
      </c>
      <c r="O72" s="185"/>
      <c r="P72" s="477">
        <f>P64+1</f>
        <v>0.99586051179126944</v>
      </c>
      <c r="Q72" s="477">
        <f t="shared" ref="Q72:Q78" si="5">Q64+1</f>
        <v>0.96671845040657234</v>
      </c>
      <c r="R72" s="185"/>
      <c r="S72" s="185"/>
      <c r="T72" s="185"/>
      <c r="U72" s="185">
        <v>2599510056372.3008</v>
      </c>
      <c r="V72" s="185"/>
      <c r="W72" s="185"/>
      <c r="X72" s="185"/>
      <c r="Y72" s="185"/>
      <c r="Z72" s="185"/>
      <c r="AA72" s="185"/>
      <c r="AB72" s="185"/>
      <c r="AC72" s="185"/>
      <c r="AD72" s="185"/>
      <c r="AE72" s="185"/>
      <c r="AF72" s="185"/>
      <c r="AG72" s="185"/>
      <c r="AH72" s="185"/>
      <c r="AI72" s="185"/>
      <c r="AJ72" s="185"/>
      <c r="AK72" s="185"/>
      <c r="AL72" s="185"/>
      <c r="AM72" s="185"/>
      <c r="AN72" s="185"/>
      <c r="AO72" s="185"/>
      <c r="AP72" s="185"/>
      <c r="AQ72" s="185"/>
      <c r="AR72" s="185"/>
      <c r="AS72" s="185"/>
      <c r="AT72" s="185"/>
      <c r="AU72" s="185"/>
      <c r="AV72" s="185"/>
      <c r="AW72" s="185"/>
      <c r="AX72" s="185"/>
      <c r="AY72" s="185"/>
      <c r="AZ72" s="185"/>
      <c r="BA72" s="185"/>
      <c r="BB72" s="185"/>
      <c r="BC72" s="185"/>
      <c r="BD72" s="185"/>
      <c r="BE72" s="185"/>
      <c r="BF72" s="185"/>
      <c r="BG72" s="185"/>
    </row>
    <row r="73" spans="8:59">
      <c r="H73" s="66"/>
      <c r="I73" s="66"/>
      <c r="J73" s="67"/>
      <c r="K73" s="66"/>
      <c r="L73" s="66"/>
      <c r="M73" s="66"/>
      <c r="N73" s="472" t="s">
        <v>36</v>
      </c>
      <c r="O73" s="185"/>
      <c r="P73" s="477">
        <f t="shared" ref="P73:Q78" si="6">P65+1</f>
        <v>0.99079477018129625</v>
      </c>
      <c r="Q73" s="477">
        <f t="shared" si="5"/>
        <v>0.95168808264046356</v>
      </c>
      <c r="R73" s="185"/>
      <c r="S73" s="185"/>
      <c r="T73" s="185"/>
      <c r="U73" s="185">
        <v>115985416512739.75</v>
      </c>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row>
    <row r="74" spans="8:59">
      <c r="H74" s="66"/>
      <c r="I74" s="66"/>
      <c r="J74" s="67"/>
      <c r="K74" s="66"/>
      <c r="L74" s="66"/>
      <c r="M74" s="66"/>
      <c r="N74" s="472" t="s">
        <v>37</v>
      </c>
      <c r="O74" s="185"/>
      <c r="P74" s="477">
        <f t="shared" si="6"/>
        <v>0.99887434517195095</v>
      </c>
      <c r="Q74" s="477">
        <f t="shared" si="5"/>
        <v>0.96055768258325502</v>
      </c>
      <c r="R74" s="185"/>
      <c r="S74" s="185"/>
      <c r="T74" s="185"/>
      <c r="U74" s="185">
        <v>113453815414940.44</v>
      </c>
      <c r="V74" s="185"/>
      <c r="W74" s="185"/>
      <c r="X74" s="185"/>
      <c r="Y74" s="185"/>
      <c r="Z74" s="185"/>
      <c r="AA74" s="185"/>
      <c r="AB74" s="185"/>
      <c r="AC74" s="185"/>
      <c r="AD74" s="185"/>
      <c r="AE74" s="185"/>
      <c r="AF74" s="185"/>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row>
    <row r="75" spans="8:59">
      <c r="H75" s="66"/>
      <c r="I75" s="66"/>
      <c r="J75" s="67"/>
      <c r="K75" s="66"/>
      <c r="L75" s="66"/>
      <c r="M75" s="66"/>
      <c r="N75" s="472" t="s">
        <v>148</v>
      </c>
      <c r="O75" s="185"/>
      <c r="P75" s="477">
        <f t="shared" si="6"/>
        <v>1.4283611383709518</v>
      </c>
      <c r="Q75" s="477">
        <f t="shared" si="5"/>
        <v>1.2370319477842666</v>
      </c>
      <c r="R75" s="185"/>
      <c r="S75" s="185"/>
      <c r="T75" s="185"/>
      <c r="U75" s="185">
        <v>0</v>
      </c>
      <c r="V75" s="185"/>
      <c r="W75" s="185"/>
      <c r="X75" s="185"/>
      <c r="Y75" s="185"/>
      <c r="Z75" s="185"/>
      <c r="AA75" s="185"/>
      <c r="AB75" s="185"/>
      <c r="AC75" s="185"/>
      <c r="AD75" s="185"/>
      <c r="AE75" s="185"/>
      <c r="AF75" s="185"/>
      <c r="AG75" s="185"/>
      <c r="AH75" s="185"/>
      <c r="AI75" s="185"/>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row>
    <row r="76" spans="8:59">
      <c r="H76" s="66"/>
      <c r="I76" s="66"/>
      <c r="J76" s="67"/>
      <c r="K76" s="66"/>
      <c r="L76" s="66"/>
      <c r="M76" s="66"/>
      <c r="N76" s="472" t="s">
        <v>85</v>
      </c>
      <c r="O76" s="185"/>
      <c r="P76" s="477">
        <f t="shared" si="6"/>
        <v>0.9460567124501551</v>
      </c>
      <c r="Q76" s="477">
        <f t="shared" si="5"/>
        <v>0.9147640791476408</v>
      </c>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row>
    <row r="77" spans="8:59">
      <c r="H77" s="66"/>
      <c r="I77" s="66"/>
      <c r="J77" s="67"/>
      <c r="K77" s="66"/>
      <c r="L77" s="66"/>
      <c r="M77" s="66"/>
      <c r="N77" s="472" t="s">
        <v>482</v>
      </c>
      <c r="O77" s="185"/>
      <c r="P77" s="477">
        <f t="shared" si="6"/>
        <v>0.98610598795032578</v>
      </c>
      <c r="Q77" s="477">
        <f t="shared" si="5"/>
        <v>0.96795511221945141</v>
      </c>
      <c r="R77" s="185"/>
      <c r="S77" s="185"/>
      <c r="T77" s="185"/>
      <c r="U77" s="185">
        <v>495852240569989.63</v>
      </c>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row>
    <row r="78" spans="8:59">
      <c r="H78" s="66"/>
      <c r="I78" s="66"/>
      <c r="J78" s="67"/>
      <c r="K78" s="66"/>
      <c r="L78" s="66"/>
      <c r="M78" s="66"/>
      <c r="N78" s="473" t="s">
        <v>788</v>
      </c>
      <c r="O78" s="185"/>
      <c r="P78" s="477">
        <f t="shared" si="6"/>
        <v>0.96025104602510458</v>
      </c>
      <c r="Q78" s="477">
        <f t="shared" si="5"/>
        <v>1.0494864612511672</v>
      </c>
      <c r="R78" s="185"/>
      <c r="S78" s="185"/>
      <c r="T78" s="185"/>
      <c r="U78" s="185">
        <v>0</v>
      </c>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row>
    <row r="79" spans="8:59">
      <c r="H79" s="66"/>
      <c r="I79" s="66"/>
      <c r="J79" s="67"/>
      <c r="K79" s="66"/>
      <c r="L79" s="66"/>
      <c r="M79" s="66"/>
      <c r="N79" s="66"/>
      <c r="O79" s="66"/>
      <c r="P79" s="66"/>
      <c r="Q79" s="66"/>
      <c r="R79" s="66"/>
      <c r="S79" s="66"/>
      <c r="T79" s="66"/>
      <c r="U79" s="66">
        <v>10807719897848.939</v>
      </c>
      <c r="V79" s="66"/>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59">
      <c r="H80" s="66"/>
      <c r="I80" s="66"/>
      <c r="J80" s="67"/>
      <c r="K80" s="66"/>
      <c r="L80" s="66"/>
      <c r="M80" s="66"/>
      <c r="N80" s="66"/>
      <c r="O80" s="66"/>
      <c r="P80" s="66"/>
      <c r="Q80" s="66"/>
      <c r="R80" s="66"/>
      <c r="S80" s="66"/>
      <c r="T80" s="66"/>
      <c r="U80" s="66">
        <v>137812766707800</v>
      </c>
      <c r="V80" s="66"/>
    </row>
    <row r="81" spans="8:21">
      <c r="H81" s="66"/>
      <c r="I81" s="66"/>
      <c r="J81" s="67"/>
      <c r="K81" s="66"/>
      <c r="L81" s="66"/>
      <c r="U81" s="160">
        <v>347231753964340.69</v>
      </c>
    </row>
    <row r="82" spans="8:21">
      <c r="H82" s="66"/>
      <c r="I82" s="66"/>
      <c r="J82" s="67"/>
      <c r="K82" s="66"/>
      <c r="L82" s="66"/>
      <c r="U82" s="160">
        <v>0</v>
      </c>
    </row>
    <row r="83" spans="8:21">
      <c r="H83" s="66"/>
      <c r="I83" s="66"/>
      <c r="J83" s="67"/>
      <c r="K83" s="66"/>
      <c r="L83" s="66"/>
    </row>
    <row r="84" spans="8:21">
      <c r="H84" s="66"/>
      <c r="I84" s="66"/>
      <c r="J84" s="67"/>
      <c r="K84" s="66"/>
      <c r="L84" s="66"/>
      <c r="U84" s="160">
        <v>1126254212281159.8</v>
      </c>
    </row>
    <row r="85" spans="8:21">
      <c r="H85" s="66"/>
      <c r="I85" s="66"/>
      <c r="J85" s="67"/>
      <c r="K85" s="66"/>
      <c r="L85" s="66"/>
      <c r="U85" s="160">
        <v>150101197456244.16</v>
      </c>
    </row>
    <row r="86" spans="8:21">
      <c r="H86" s="66"/>
      <c r="I86" s="66"/>
      <c r="J86" s="67"/>
      <c r="K86" s="66"/>
      <c r="L86" s="66"/>
      <c r="U86" s="160">
        <v>232850029671494.88</v>
      </c>
    </row>
    <row r="87" spans="8:21">
      <c r="H87" s="66"/>
      <c r="I87" s="66"/>
      <c r="J87" s="67"/>
      <c r="K87" s="66"/>
      <c r="L87" s="66"/>
      <c r="U87" s="160">
        <v>145883902834859.75</v>
      </c>
    </row>
    <row r="88" spans="8:21">
      <c r="H88" s="66"/>
      <c r="I88" s="66"/>
      <c r="J88" s="67"/>
      <c r="K88" s="66"/>
      <c r="L88" s="66"/>
      <c r="U88" s="160">
        <v>220470906220016.47</v>
      </c>
    </row>
    <row r="89" spans="8:21">
      <c r="H89" s="66"/>
      <c r="I89" s="66"/>
      <c r="J89" s="67"/>
      <c r="K89" s="66"/>
      <c r="L89" s="66"/>
      <c r="U89" s="160">
        <v>376948176098544.56</v>
      </c>
    </row>
    <row r="90" spans="8:21">
      <c r="H90" s="66"/>
      <c r="I90" s="66"/>
      <c r="J90" s="67"/>
      <c r="K90" s="66"/>
      <c r="L90" s="66"/>
    </row>
    <row r="91" spans="8:21">
      <c r="H91" s="66"/>
      <c r="I91" s="66"/>
      <c r="J91" s="67"/>
      <c r="K91" s="66"/>
      <c r="L91" s="66"/>
    </row>
    <row r="92" spans="8:21">
      <c r="H92" s="66"/>
      <c r="I92" s="66"/>
      <c r="J92" s="67"/>
      <c r="K92" s="66"/>
      <c r="L92" s="66"/>
    </row>
    <row r="93" spans="8:21">
      <c r="H93" s="66"/>
      <c r="I93" s="66"/>
      <c r="J93" s="67"/>
      <c r="K93" s="66"/>
      <c r="L93" s="66"/>
    </row>
    <row r="94" spans="8:21">
      <c r="H94" s="66"/>
      <c r="I94" s="66"/>
      <c r="J94" s="67"/>
      <c r="K94" s="66"/>
      <c r="L94" s="66"/>
    </row>
    <row r="95" spans="8:21">
      <c r="H95" s="66"/>
      <c r="I95" s="66"/>
      <c r="J95" s="67"/>
      <c r="K95" s="66"/>
      <c r="L95" s="66"/>
    </row>
    <row r="96" spans="8:21">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08203125" defaultRowHeight="17"/>
  <cols>
    <col min="1" max="1" width="20.6640625" style="220" customWidth="1"/>
    <col min="2" max="3" width="6.1640625" style="220" customWidth="1"/>
    <col min="4" max="4" width="6.1640625" style="220" customWidth="1" collapsed="1"/>
    <col min="5" max="7" width="6.1640625" style="220" customWidth="1"/>
    <col min="8" max="9" width="5.58203125" style="220" customWidth="1"/>
    <col min="10" max="10" width="0.6640625" style="239" customWidth="1"/>
    <col min="11" max="12" width="5.58203125" style="220" customWidth="1"/>
    <col min="13" max="13" width="4.4140625" style="38" customWidth="1"/>
    <col min="14" max="14" width="20.6640625" style="38" customWidth="1"/>
    <col min="15" max="48" width="6.1640625" style="160" customWidth="1"/>
    <col min="49" max="49" width="9.08203125" style="38"/>
    <col min="50" max="16384" width="9.08203125" style="220"/>
  </cols>
  <sheetData>
    <row r="1" spans="1:49" ht="30" customHeight="1">
      <c r="A1" s="457" t="s">
        <v>529</v>
      </c>
      <c r="B1" s="458"/>
      <c r="C1" s="458"/>
      <c r="D1" s="458"/>
      <c r="E1" s="458"/>
      <c r="F1" s="458"/>
      <c r="G1" s="458"/>
      <c r="H1" s="458"/>
      <c r="I1" s="458"/>
      <c r="J1" s="458"/>
      <c r="K1" s="458"/>
      <c r="L1" s="458"/>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59" t="s">
        <v>51</v>
      </c>
      <c r="B2" s="459"/>
      <c r="C2" s="459"/>
      <c r="D2" s="459"/>
      <c r="E2" s="459"/>
      <c r="F2" s="459"/>
      <c r="G2" s="459"/>
      <c r="H2" s="459"/>
      <c r="I2" s="459"/>
      <c r="J2" s="459"/>
      <c r="K2" s="459"/>
      <c r="L2" s="459"/>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49" t="s">
        <v>31</v>
      </c>
      <c r="I3" s="449"/>
      <c r="J3" s="223"/>
      <c r="K3" s="449" t="s">
        <v>32</v>
      </c>
      <c r="L3" s="449"/>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27" t="s">
        <v>530</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530</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531</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531</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532</v>
      </c>
      <c r="B7" s="234">
        <v>12.561</v>
      </c>
      <c r="C7" s="234">
        <v>25.864999999999998</v>
      </c>
      <c r="D7" s="235">
        <v>28.533999999999999</v>
      </c>
      <c r="E7" s="235">
        <v>30.09</v>
      </c>
      <c r="F7" s="235">
        <v>31.105</v>
      </c>
      <c r="G7" s="235">
        <v>31.792999999999999</v>
      </c>
      <c r="H7" s="236">
        <v>48.38</v>
      </c>
      <c r="I7" s="236">
        <v>44.69</v>
      </c>
      <c r="J7" s="237"/>
      <c r="K7" s="238">
        <v>4.09</v>
      </c>
      <c r="L7" s="238">
        <v>0.94</v>
      </c>
      <c r="N7" s="233" t="s">
        <v>532</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533</v>
      </c>
      <c r="B9" s="228"/>
      <c r="C9" s="228"/>
      <c r="D9" s="229"/>
      <c r="E9" s="229"/>
      <c r="F9" s="229"/>
      <c r="G9" s="229"/>
      <c r="H9" s="240"/>
      <c r="I9" s="240"/>
      <c r="J9" s="237"/>
      <c r="K9" s="240"/>
      <c r="L9" s="240"/>
      <c r="N9" s="227" t="s">
        <v>540</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534</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535</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536</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537</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538</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539</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299" t="s">
        <v>607</v>
      </c>
      <c r="B21" s="38"/>
      <c r="H21" s="243"/>
      <c r="I21" s="243"/>
      <c r="J21" s="244"/>
      <c r="K21" s="243"/>
      <c r="L21" s="243"/>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37">
        <f>About!C70</f>
        <v>39656668310000</v>
      </c>
      <c r="B22" s="29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530</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531</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532</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08203125" defaultRowHeight="17"/>
  <cols>
    <col min="1" max="1" width="20.6640625" style="220" customWidth="1"/>
    <col min="2" max="3" width="6.1640625" style="220" customWidth="1"/>
    <col min="4" max="4" width="6.1640625" style="220" customWidth="1" collapsed="1"/>
    <col min="5" max="7" width="6.1640625" style="220" customWidth="1"/>
    <col min="8" max="9" width="5.58203125" style="220" customWidth="1"/>
    <col min="10" max="10" width="0.6640625" style="239" customWidth="1"/>
    <col min="11" max="12" width="5.58203125" style="220" customWidth="1"/>
    <col min="13" max="13" width="4.4140625" style="38" customWidth="1"/>
    <col min="14" max="14" width="20.6640625" style="38" customWidth="1"/>
    <col min="15" max="48" width="6.1640625" style="160" customWidth="1"/>
    <col min="49" max="49" width="9.08203125" style="38"/>
    <col min="50" max="16384" width="9.08203125" style="220"/>
  </cols>
  <sheetData>
    <row r="1" spans="1:49" ht="30" customHeight="1">
      <c r="A1" s="457" t="s">
        <v>555</v>
      </c>
      <c r="B1" s="458"/>
      <c r="C1" s="458"/>
      <c r="D1" s="458"/>
      <c r="E1" s="458"/>
      <c r="F1" s="458"/>
      <c r="G1" s="458"/>
      <c r="H1" s="458"/>
      <c r="I1" s="458"/>
      <c r="J1" s="458"/>
      <c r="K1" s="458"/>
      <c r="L1" s="458"/>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59" t="s">
        <v>51</v>
      </c>
      <c r="B2" s="459"/>
      <c r="C2" s="459"/>
      <c r="D2" s="459"/>
      <c r="E2" s="459"/>
      <c r="F2" s="459"/>
      <c r="G2" s="459"/>
      <c r="H2" s="459"/>
      <c r="I2" s="459"/>
      <c r="J2" s="459"/>
      <c r="K2" s="459"/>
      <c r="L2" s="459"/>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49" t="s">
        <v>31</v>
      </c>
      <c r="I3" s="449"/>
      <c r="J3" s="223"/>
      <c r="K3" s="449" t="s">
        <v>32</v>
      </c>
      <c r="L3" s="449"/>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556</v>
      </c>
      <c r="B5" s="262">
        <v>130.33099999999999</v>
      </c>
      <c r="C5" s="262">
        <v>163.71100000000001</v>
      </c>
      <c r="D5" s="263">
        <v>192.869</v>
      </c>
      <c r="E5" s="263">
        <v>199.166</v>
      </c>
      <c r="F5" s="263">
        <v>200.482</v>
      </c>
      <c r="G5" s="263">
        <v>198.499</v>
      </c>
      <c r="H5" s="275" t="s">
        <v>39</v>
      </c>
      <c r="I5" s="275" t="s">
        <v>39</v>
      </c>
      <c r="J5" s="264"/>
      <c r="K5" s="265">
        <v>1.27</v>
      </c>
      <c r="L5" s="265">
        <v>0.88</v>
      </c>
      <c r="N5" s="227" t="s">
        <v>530</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557</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531</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542</v>
      </c>
      <c r="B7" s="228">
        <v>100.61799999999999</v>
      </c>
      <c r="C7" s="228">
        <v>118.521</v>
      </c>
      <c r="D7" s="229">
        <v>125.675</v>
      </c>
      <c r="E7" s="229">
        <v>127.51</v>
      </c>
      <c r="F7" s="229">
        <v>127.178</v>
      </c>
      <c r="G7" s="229">
        <v>125.77200000000001</v>
      </c>
      <c r="H7" s="230">
        <v>100</v>
      </c>
      <c r="I7" s="230">
        <v>99.990000000000009</v>
      </c>
      <c r="J7" s="231"/>
      <c r="K7" s="232">
        <v>0.91</v>
      </c>
      <c r="L7" s="232">
        <v>0.27</v>
      </c>
      <c r="N7" s="233" t="s">
        <v>559</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558</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559</v>
      </c>
      <c r="B9" s="262">
        <v>93.838999999999999</v>
      </c>
      <c r="C9" s="262">
        <v>116.83</v>
      </c>
      <c r="D9" s="263">
        <v>124.858</v>
      </c>
      <c r="E9" s="263">
        <v>126.675</v>
      </c>
      <c r="F9" s="263">
        <v>126.33199999999999</v>
      </c>
      <c r="G9" s="263">
        <v>124.985</v>
      </c>
      <c r="H9" s="236">
        <v>98.57</v>
      </c>
      <c r="I9" s="236">
        <v>99.37</v>
      </c>
      <c r="J9" s="264"/>
      <c r="K9" s="265">
        <v>1.22</v>
      </c>
      <c r="L9" s="265">
        <v>0.31</v>
      </c>
      <c r="N9" s="227" t="s">
        <v>540</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560</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561</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562</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563</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564</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565</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566</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567</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568</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569</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570</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571</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530</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572</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531</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573</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559</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537</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538</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539</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574</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55" t="s">
        <v>575</v>
      </c>
      <c r="B30" s="456"/>
      <c r="C30" s="456"/>
      <c r="D30" s="456"/>
      <c r="E30" s="456"/>
      <c r="F30" s="456"/>
      <c r="G30" s="456"/>
      <c r="H30" s="456"/>
      <c r="I30" s="456"/>
      <c r="J30" s="456"/>
      <c r="K30" s="456"/>
      <c r="L30" s="456"/>
    </row>
    <row r="31" spans="1:49">
      <c r="H31" s="243"/>
      <c r="I31" s="243"/>
      <c r="J31" s="244"/>
      <c r="K31" s="243"/>
      <c r="L31" s="243"/>
    </row>
    <row r="32" spans="1:49">
      <c r="A32" s="299" t="s">
        <v>607</v>
      </c>
      <c r="B32" s="38"/>
      <c r="H32" s="243"/>
      <c r="I32" s="243"/>
      <c r="J32" s="244"/>
      <c r="K32" s="243"/>
      <c r="L32" s="243"/>
    </row>
    <row r="33" spans="1:12">
      <c r="A33" s="436">
        <f>About!C70</f>
        <v>39656668310000</v>
      </c>
      <c r="B33" s="29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08203125" defaultRowHeight="17"/>
  <cols>
    <col min="1" max="1" width="20.6640625" style="220" customWidth="1"/>
    <col min="2" max="3" width="6.1640625" style="220" customWidth="1"/>
    <col min="4" max="4" width="6.1640625" style="220" customWidth="1" collapsed="1"/>
    <col min="5" max="7" width="6.1640625" style="220" customWidth="1"/>
    <col min="8" max="9" width="5.58203125" style="220" customWidth="1"/>
    <col min="10" max="10" width="0.6640625" style="239" customWidth="1"/>
    <col min="11" max="12" width="5.58203125" style="220" customWidth="1"/>
    <col min="13" max="13" width="4.4140625" style="38" customWidth="1"/>
    <col min="14" max="14" width="20.6640625" style="38" customWidth="1"/>
    <col min="15" max="48" width="6.1640625" style="160" customWidth="1"/>
    <col min="49" max="49" width="9.08203125" style="38"/>
    <col min="50" max="16384" width="9.08203125" style="220"/>
  </cols>
  <sheetData>
    <row r="1" spans="1:49" ht="30" customHeight="1">
      <c r="A1" s="457" t="s">
        <v>541</v>
      </c>
      <c r="B1" s="458"/>
      <c r="C1" s="458"/>
      <c r="D1" s="458"/>
      <c r="E1" s="458"/>
      <c r="F1" s="458"/>
      <c r="G1" s="458"/>
      <c r="H1" s="458"/>
      <c r="I1" s="458"/>
      <c r="J1" s="458"/>
      <c r="K1" s="458"/>
      <c r="L1" s="458"/>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59" t="s">
        <v>51</v>
      </c>
      <c r="B2" s="459"/>
      <c r="C2" s="459"/>
      <c r="D2" s="459"/>
      <c r="E2" s="459"/>
      <c r="F2" s="459"/>
      <c r="G2" s="459"/>
      <c r="H2" s="459"/>
      <c r="I2" s="459"/>
      <c r="J2" s="459"/>
      <c r="K2" s="459"/>
      <c r="L2" s="459"/>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49" t="s">
        <v>31</v>
      </c>
      <c r="I3" s="449"/>
      <c r="J3" s="223"/>
      <c r="K3" s="449" t="s">
        <v>32</v>
      </c>
      <c r="L3" s="449"/>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542</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530</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543</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531</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544</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532</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545</v>
      </c>
      <c r="B9" s="267"/>
      <c r="C9" s="267"/>
      <c r="D9" s="268"/>
      <c r="E9" s="268"/>
      <c r="F9" s="268"/>
      <c r="G9" s="268"/>
      <c r="H9" s="269"/>
      <c r="I9" s="269"/>
      <c r="J9" s="264"/>
      <c r="K9" s="269"/>
      <c r="L9" s="269"/>
      <c r="N9" s="227" t="s">
        <v>540</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546</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547</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548</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549</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550</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535</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551</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552</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553</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554</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55"/>
      <c r="B21" s="456"/>
      <c r="C21" s="456"/>
      <c r="D21" s="456"/>
      <c r="E21" s="456"/>
      <c r="F21" s="456"/>
      <c r="G21" s="456"/>
      <c r="H21" s="456"/>
      <c r="I21" s="456"/>
      <c r="J21" s="456"/>
      <c r="K21" s="456"/>
      <c r="L21" s="456"/>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7.5" thickBot="1">
      <c r="A23" s="299" t="s">
        <v>607</v>
      </c>
      <c r="B23" s="398"/>
      <c r="H23" s="241"/>
      <c r="I23" s="241"/>
      <c r="J23" s="242"/>
      <c r="K23" s="241"/>
      <c r="L23" s="241"/>
      <c r="N23" s="227" t="s">
        <v>530</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7.5" thickBot="1">
      <c r="A24" s="438">
        <f>About!C70</f>
        <v>39656668310000</v>
      </c>
      <c r="B24" s="297" t="s">
        <v>29</v>
      </c>
      <c r="H24" s="241"/>
      <c r="I24" s="241"/>
      <c r="J24" s="242"/>
      <c r="K24" s="241"/>
      <c r="L24" s="241"/>
      <c r="N24" s="233" t="s">
        <v>531</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532</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640625" defaultRowHeight="16"/>
  <cols>
    <col min="1" max="1" width="2.1640625" style="104" customWidth="1"/>
    <col min="2" max="2" width="25.5" style="104" bestFit="1" customWidth="1"/>
    <col min="3" max="3" width="41.4140625" style="104" bestFit="1" customWidth="1"/>
    <col min="4" max="15" width="10.5" style="104" customWidth="1"/>
    <col min="16" max="16" width="17.4140625" style="104" bestFit="1" customWidth="1"/>
    <col min="17" max="42" width="10.5" style="104" customWidth="1"/>
    <col min="43" max="43" width="24.4140625" style="104" bestFit="1" customWidth="1"/>
    <col min="44" max="44" width="28.1640625" style="104" bestFit="1" customWidth="1"/>
    <col min="45" max="45" width="18.5" style="104" bestFit="1" customWidth="1"/>
    <col min="46" max="49" width="10.5" style="104" customWidth="1"/>
    <col min="50" max="50" width="18.5" style="104" bestFit="1" customWidth="1"/>
    <col min="51" max="58" width="10.5" style="104" customWidth="1"/>
    <col min="59" max="59" width="11.6640625" style="104" bestFit="1" customWidth="1"/>
    <col min="60" max="61" width="10.5" style="104" customWidth="1"/>
    <col min="62" max="62" width="22" style="104" bestFit="1" customWidth="1"/>
    <col min="63" max="63" width="16.58203125" style="104" bestFit="1" customWidth="1"/>
    <col min="64" max="64" width="1.5" style="104" customWidth="1"/>
    <col min="65" max="65" width="9" style="104" bestFit="1" customWidth="1"/>
    <col min="66" max="66" width="14.4140625" style="104" bestFit="1" customWidth="1"/>
    <col min="67" max="16384" width="8.1640625" style="104"/>
  </cols>
  <sheetData>
    <row r="1" spans="2:65" ht="18" customHeight="1" thickBot="1">
      <c r="D1" s="460" t="s">
        <v>426</v>
      </c>
      <c r="E1" s="460"/>
      <c r="F1" s="460"/>
      <c r="G1" s="460"/>
      <c r="H1" s="460"/>
      <c r="I1" s="460"/>
      <c r="J1" s="460"/>
      <c r="K1" s="460"/>
      <c r="L1" s="460"/>
      <c r="M1" s="460"/>
      <c r="N1" s="460"/>
      <c r="O1" s="460"/>
      <c r="P1" s="460"/>
      <c r="Q1" s="461" t="s">
        <v>427</v>
      </c>
      <c r="R1" s="461"/>
      <c r="S1" s="152" t="s">
        <v>431</v>
      </c>
      <c r="T1" s="462" t="s">
        <v>433</v>
      </c>
      <c r="U1" s="462"/>
      <c r="V1" s="462"/>
      <c r="W1" s="461" t="s">
        <v>437</v>
      </c>
      <c r="X1" s="461"/>
      <c r="Y1" s="461"/>
      <c r="Z1" s="460" t="s">
        <v>434</v>
      </c>
      <c r="AA1" s="460"/>
      <c r="AB1" s="460"/>
      <c r="AC1" s="460"/>
      <c r="AD1" s="460"/>
      <c r="AE1" s="460"/>
      <c r="AF1" s="461" t="s">
        <v>436</v>
      </c>
      <c r="AG1" s="461"/>
      <c r="AH1" s="461"/>
      <c r="AI1" s="460" t="s">
        <v>430</v>
      </c>
      <c r="AJ1" s="460"/>
      <c r="AK1" s="460"/>
      <c r="AL1" s="460"/>
      <c r="AM1" s="460"/>
      <c r="AN1" s="460"/>
      <c r="AO1" s="460"/>
      <c r="AP1" s="461" t="s">
        <v>428</v>
      </c>
      <c r="AQ1" s="461"/>
      <c r="AR1" s="461"/>
      <c r="AS1" s="461"/>
      <c r="AT1" s="461"/>
      <c r="AU1" s="461"/>
      <c r="AV1" s="461"/>
      <c r="AW1" s="461"/>
      <c r="AX1" s="461"/>
      <c r="AY1" s="460" t="s">
        <v>440</v>
      </c>
      <c r="AZ1" s="460"/>
      <c r="BA1" s="460"/>
      <c r="BB1" s="460"/>
      <c r="BC1" s="460"/>
      <c r="BD1" s="460"/>
      <c r="BE1" s="460"/>
      <c r="BF1" s="460"/>
      <c r="BG1" s="460"/>
      <c r="BH1" s="245" t="s">
        <v>44</v>
      </c>
      <c r="BI1" s="153" t="s">
        <v>435</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6.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599</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10" customFormat="1">
      <c r="B74" s="306" t="s">
        <v>373</v>
      </c>
      <c r="C74" s="307" t="s">
        <v>374</v>
      </c>
      <c r="D74" s="308">
        <v>0</v>
      </c>
      <c r="E74" s="308">
        <v>0</v>
      </c>
      <c r="F74" s="308">
        <v>0</v>
      </c>
      <c r="G74" s="308">
        <v>0</v>
      </c>
      <c r="H74" s="308">
        <v>0</v>
      </c>
      <c r="I74" s="308">
        <v>0</v>
      </c>
      <c r="J74" s="308">
        <v>0</v>
      </c>
      <c r="K74" s="308">
        <v>14.728999999999999</v>
      </c>
      <c r="L74" s="308">
        <v>0</v>
      </c>
      <c r="M74" s="308">
        <v>0</v>
      </c>
      <c r="N74" s="308">
        <v>0</v>
      </c>
      <c r="O74" s="308">
        <v>0</v>
      </c>
      <c r="P74" s="308">
        <v>0</v>
      </c>
      <c r="Q74" s="308">
        <v>0</v>
      </c>
      <c r="R74" s="308">
        <v>77.927000000000007</v>
      </c>
      <c r="S74" s="308">
        <v>0</v>
      </c>
      <c r="T74" s="308">
        <v>0</v>
      </c>
      <c r="U74" s="308">
        <v>0</v>
      </c>
      <c r="V74" s="308">
        <v>0</v>
      </c>
      <c r="W74" s="308">
        <v>0</v>
      </c>
      <c r="X74" s="308">
        <v>23.475999999999999</v>
      </c>
      <c r="Y74" s="308">
        <v>0.17699999999999999</v>
      </c>
      <c r="Z74" s="308">
        <v>37.881</v>
      </c>
      <c r="AA74" s="308">
        <v>2.335</v>
      </c>
      <c r="AB74" s="308">
        <v>0</v>
      </c>
      <c r="AC74" s="308">
        <v>439.14600000000002</v>
      </c>
      <c r="AD74" s="308">
        <v>137.20500000000001</v>
      </c>
      <c r="AE74" s="308">
        <v>694.94399999999996</v>
      </c>
      <c r="AF74" s="308">
        <v>2.8450000000000002</v>
      </c>
      <c r="AG74" s="308">
        <v>0.20599999999999999</v>
      </c>
      <c r="AH74" s="308">
        <v>6.9240000000000004</v>
      </c>
      <c r="AI74" s="308">
        <v>0</v>
      </c>
      <c r="AJ74" s="308">
        <v>0</v>
      </c>
      <c r="AK74" s="308">
        <v>0</v>
      </c>
      <c r="AL74" s="308">
        <v>0</v>
      </c>
      <c r="AM74" s="308">
        <v>0</v>
      </c>
      <c r="AN74" s="308">
        <v>0</v>
      </c>
      <c r="AO74" s="308">
        <v>0</v>
      </c>
      <c r="AP74" s="308">
        <v>61.4</v>
      </c>
      <c r="AQ74" s="308">
        <v>684.85500000000002</v>
      </c>
      <c r="AR74" s="308">
        <v>15.536</v>
      </c>
      <c r="AS74" s="308">
        <v>27.611000000000001</v>
      </c>
      <c r="AT74" s="308">
        <v>30.202999999999999</v>
      </c>
      <c r="AU74" s="308">
        <v>0</v>
      </c>
      <c r="AV74" s="308">
        <v>0</v>
      </c>
      <c r="AW74" s="308">
        <v>0</v>
      </c>
      <c r="AX74" s="308">
        <v>0</v>
      </c>
      <c r="AY74" s="308">
        <v>0</v>
      </c>
      <c r="AZ74" s="308">
        <v>0</v>
      </c>
      <c r="BA74" s="308">
        <v>0</v>
      </c>
      <c r="BB74" s="308">
        <v>150.899</v>
      </c>
      <c r="BC74" s="308">
        <v>0</v>
      </c>
      <c r="BD74" s="308">
        <v>12.157999999999999</v>
      </c>
      <c r="BE74" s="308">
        <v>0</v>
      </c>
      <c r="BF74" s="308">
        <v>0</v>
      </c>
      <c r="BG74" s="308">
        <v>0</v>
      </c>
      <c r="BH74" s="308">
        <v>2221.5479999999998</v>
      </c>
      <c r="BI74" s="308">
        <v>69.474000000000004</v>
      </c>
      <c r="BJ74" s="308">
        <v>4711.4789999999994</v>
      </c>
      <c r="BK74" s="308">
        <v>982.66200000000003</v>
      </c>
      <c r="BL74" s="309"/>
      <c r="BM74" s="30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52" t="s">
        <v>50</v>
      </c>
      <c r="B1" s="453"/>
      <c r="C1" s="453"/>
      <c r="D1" s="453"/>
      <c r="E1" s="453"/>
      <c r="F1" s="453"/>
      <c r="G1" s="453"/>
      <c r="H1" s="453"/>
      <c r="I1" s="453"/>
      <c r="J1" s="453"/>
      <c r="K1" s="453"/>
      <c r="L1" s="453"/>
    </row>
    <row r="2" spans="1:12">
      <c r="A2" s="454" t="s">
        <v>51</v>
      </c>
      <c r="B2" s="454"/>
      <c r="C2" s="454"/>
      <c r="D2" s="454"/>
      <c r="E2" s="454"/>
      <c r="F2" s="454"/>
      <c r="G2" s="454"/>
      <c r="H2" s="454"/>
      <c r="I2" s="454"/>
      <c r="J2" s="454"/>
      <c r="K2" s="454"/>
      <c r="L2" s="454"/>
    </row>
    <row r="3" spans="1:12" ht="15" customHeight="1">
      <c r="A3" s="39"/>
      <c r="B3" s="40"/>
      <c r="C3" s="40"/>
      <c r="D3" s="40"/>
      <c r="E3" s="40"/>
      <c r="F3" s="40"/>
      <c r="G3" s="40"/>
      <c r="H3" s="449" t="s">
        <v>31</v>
      </c>
      <c r="I3" s="449"/>
      <c r="J3" s="41"/>
      <c r="K3" s="449" t="s">
        <v>32</v>
      </c>
      <c r="L3" s="449"/>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55" t="s">
        <v>70</v>
      </c>
      <c r="B33" s="456"/>
      <c r="C33" s="456"/>
      <c r="D33" s="456"/>
      <c r="E33" s="456"/>
      <c r="F33" s="456"/>
      <c r="G33" s="456"/>
      <c r="H33" s="456"/>
      <c r="I33" s="456"/>
      <c r="J33" s="456"/>
      <c r="K33" s="456"/>
      <c r="L33" s="456"/>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5"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52" t="s">
        <v>71</v>
      </c>
      <c r="B1" s="453"/>
      <c r="C1" s="453"/>
      <c r="D1" s="453"/>
      <c r="E1" s="453"/>
      <c r="F1" s="453"/>
      <c r="G1" s="453"/>
      <c r="H1" s="453"/>
      <c r="I1" s="453"/>
      <c r="J1" s="453"/>
      <c r="K1" s="453"/>
      <c r="L1" s="453"/>
    </row>
    <row r="2" spans="1:12">
      <c r="A2" s="454" t="s">
        <v>51</v>
      </c>
      <c r="B2" s="454"/>
      <c r="C2" s="454"/>
      <c r="D2" s="454"/>
      <c r="E2" s="454"/>
      <c r="F2" s="454"/>
      <c r="G2" s="454"/>
      <c r="H2" s="454"/>
      <c r="I2" s="454"/>
      <c r="J2" s="454"/>
      <c r="K2" s="454"/>
      <c r="L2" s="454"/>
    </row>
    <row r="3" spans="1:12" ht="15" customHeight="1">
      <c r="A3" s="39"/>
      <c r="B3" s="40"/>
      <c r="C3" s="40"/>
      <c r="D3" s="40"/>
      <c r="E3" s="40"/>
      <c r="F3" s="40"/>
      <c r="G3" s="40"/>
      <c r="H3" s="449" t="s">
        <v>31</v>
      </c>
      <c r="I3" s="449"/>
      <c r="J3" s="41"/>
      <c r="K3" s="449" t="s">
        <v>32</v>
      </c>
      <c r="L3" s="449"/>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55" t="s">
        <v>93</v>
      </c>
      <c r="B34" s="456"/>
      <c r="C34" s="456"/>
      <c r="D34" s="456"/>
      <c r="E34" s="456"/>
      <c r="F34" s="456"/>
      <c r="G34" s="456"/>
      <c r="H34" s="456"/>
      <c r="I34" s="456"/>
      <c r="J34" s="456"/>
      <c r="K34" s="456"/>
      <c r="L34" s="45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52" t="s">
        <v>94</v>
      </c>
      <c r="B1" s="453"/>
      <c r="C1" s="453"/>
      <c r="D1" s="453"/>
      <c r="E1" s="453"/>
      <c r="F1" s="453"/>
      <c r="G1" s="453"/>
      <c r="H1" s="453"/>
      <c r="I1" s="453"/>
      <c r="J1" s="453"/>
      <c r="K1" s="453"/>
      <c r="L1" s="453"/>
    </row>
    <row r="2" spans="1:12">
      <c r="A2" s="454" t="s">
        <v>51</v>
      </c>
      <c r="B2" s="454"/>
      <c r="C2" s="454"/>
      <c r="D2" s="454"/>
      <c r="E2" s="454"/>
      <c r="F2" s="454"/>
      <c r="G2" s="454"/>
      <c r="H2" s="454"/>
      <c r="I2" s="454"/>
      <c r="J2" s="454"/>
      <c r="K2" s="454"/>
      <c r="L2" s="454"/>
    </row>
    <row r="3" spans="1:12" ht="15" customHeight="1">
      <c r="A3" s="39"/>
      <c r="B3" s="40"/>
      <c r="C3" s="40"/>
      <c r="D3" s="40"/>
      <c r="E3" s="40"/>
      <c r="F3" s="40"/>
      <c r="G3" s="40"/>
      <c r="H3" s="449" t="s">
        <v>31</v>
      </c>
      <c r="I3" s="449"/>
      <c r="J3" s="41"/>
      <c r="K3" s="449" t="s">
        <v>32</v>
      </c>
      <c r="L3" s="449"/>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55"/>
      <c r="B26" s="456"/>
      <c r="C26" s="456"/>
      <c r="D26" s="456"/>
      <c r="E26" s="456"/>
      <c r="F26" s="456"/>
      <c r="G26" s="456"/>
      <c r="H26" s="456"/>
      <c r="I26" s="456"/>
      <c r="J26" s="456"/>
      <c r="K26" s="456"/>
      <c r="L26" s="456"/>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4" ht="16">
      <c r="B2" s="311" t="s">
        <v>625</v>
      </c>
    </row>
    <row r="4" spans="2:4">
      <c r="B4" s="188" t="s">
        <v>630</v>
      </c>
      <c r="C4" s="312" t="s">
        <v>446</v>
      </c>
      <c r="D4" s="312" t="s">
        <v>447</v>
      </c>
    </row>
    <row r="5" spans="2:4">
      <c r="B5" s="176" t="s">
        <v>445</v>
      </c>
      <c r="C5" s="177">
        <f>SUM('2019 KESIS Energy Balance'!Z61:AE61)</f>
        <v>13.368</v>
      </c>
      <c r="D5" s="178">
        <f>C5/SUM($C$5:$C$7)</f>
        <v>0.17361264432005613</v>
      </c>
    </row>
    <row r="6" spans="2:4">
      <c r="B6" s="176" t="s">
        <v>423</v>
      </c>
      <c r="C6" s="177">
        <f>SUM('2019 KESIS Energy Balance'!AF61:AH61)</f>
        <v>17.835000000000001</v>
      </c>
      <c r="D6" s="178">
        <f t="shared" ref="D6:D7" si="0">C6/SUM($C$5:$C$7)</f>
        <v>0.23162638475824363</v>
      </c>
    </row>
    <row r="7" spans="2:4">
      <c r="B7" s="176" t="s">
        <v>424</v>
      </c>
      <c r="C7" s="177">
        <f>SUM('2019 KESIS Energy Balance'!W61:Y61)</f>
        <v>45.795999999999999</v>
      </c>
      <c r="D7" s="178">
        <f t="shared" si="0"/>
        <v>0.59476097092170033</v>
      </c>
    </row>
    <row r="29" spans="3:3" ht="16">
      <c r="C29" s="105"/>
    </row>
  </sheetData>
  <phoneticPr fontId="3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11" t="s">
        <v>626</v>
      </c>
    </row>
    <row r="4" spans="2:14">
      <c r="B4" s="188" t="s">
        <v>631</v>
      </c>
      <c r="C4" s="188"/>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s="338" customFormat="1" ht="204">
      <c r="B6" s="334" t="s">
        <v>11</v>
      </c>
      <c r="C6" s="335" t="str">
        <f>VLOOKUP($B6,About!$B$31:$E$55,3,0)</f>
        <v>EndUse&gt;Industry&gt;chemical and Petro-chemical</v>
      </c>
      <c r="D6" s="335" t="str">
        <f>VLOOKUP($B6,About!$B$31:$E$55,4,0)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36">
        <f>1-E7</f>
        <v>0.55209607472478606</v>
      </c>
      <c r="F6" s="336">
        <f t="shared" ref="F6:M6" si="0">1-F7</f>
        <v>0.44441460794844245</v>
      </c>
      <c r="G6" s="336">
        <f t="shared" si="0"/>
        <v>0.48703570787726536</v>
      </c>
      <c r="H6" s="336">
        <f t="shared" si="0"/>
        <v>0.96770405167351736</v>
      </c>
      <c r="I6" s="336">
        <f t="shared" si="0"/>
        <v>0.6588235294117647</v>
      </c>
      <c r="J6" s="336">
        <f t="shared" si="0"/>
        <v>0.58344383405948097</v>
      </c>
      <c r="K6" s="337" t="s">
        <v>433</v>
      </c>
      <c r="L6" s="336">
        <f t="shared" si="0"/>
        <v>0.97435897435897434</v>
      </c>
      <c r="M6" s="336">
        <f t="shared" si="0"/>
        <v>0.69558576447227738</v>
      </c>
      <c r="N6" s="337" t="s">
        <v>433</v>
      </c>
    </row>
    <row r="7" spans="2:14" s="338" customFormat="1" ht="68">
      <c r="B7" s="339" t="s">
        <v>12</v>
      </c>
      <c r="C7" s="340" t="str">
        <f>VLOOKUP($B7,About!$B$31:$E$55,3,0)</f>
        <v>EndUse&gt;Industry&gt;chemical and Petro-chemical</v>
      </c>
      <c r="D7" s="340" t="str">
        <f>VLOOKUP($B7,About!$B$31:$E$55,4,0)</f>
        <v>Synthetic rubber and plastic material manufacturing, rubber product manufacturing, plastic product manufacturing</v>
      </c>
      <c r="E7" s="341">
        <f>SUM(E33,L33:M33)/SUM(D33:M33)</f>
        <v>0.447903925275214</v>
      </c>
      <c r="F7" s="342">
        <f>SUM(E18,L18:M18)/SUM(D18:M18)</f>
        <v>0.55558539205155755</v>
      </c>
      <c r="G7" s="343">
        <f>SUM(E30,L30:M30)/SUM(D30:M30)</f>
        <v>0.51296429212273464</v>
      </c>
      <c r="H7" s="341">
        <f>SUM(E31,L31:M31)/SUM(D31:M31)</f>
        <v>3.2295948326482679E-2</v>
      </c>
      <c r="I7" s="341">
        <f>SUM(E20:E22,L20:M22)/SUM(D20:M22)</f>
        <v>0.3411764705882353</v>
      </c>
      <c r="J7" s="344">
        <f>SUM(E32,L32:M32)/SUM(D32:M32)</f>
        <v>0.41655616594051903</v>
      </c>
      <c r="K7" s="345" t="s">
        <v>432</v>
      </c>
      <c r="L7" s="341">
        <f>SUM(E23:E25,L23:M25)/SUM(D23:M25)</f>
        <v>2.5641025641025637E-2</v>
      </c>
      <c r="M7" s="341">
        <f>SUM(E27:E28,L27:M28)/SUM(D27:M28)</f>
        <v>0.30441423552772262</v>
      </c>
      <c r="N7" s="345" t="s">
        <v>432</v>
      </c>
    </row>
    <row r="8" spans="2:14" s="151" customFormat="1">
      <c r="B8" s="313" t="s">
        <v>494</v>
      </c>
      <c r="C8" s="313"/>
      <c r="D8" s="313"/>
      <c r="E8" s="314">
        <f t="shared" ref="E8:M8" si="1">SUM(E6:E7)</f>
        <v>1</v>
      </c>
      <c r="F8" s="314">
        <f t="shared" si="1"/>
        <v>1</v>
      </c>
      <c r="G8" s="314">
        <f t="shared" si="1"/>
        <v>1</v>
      </c>
      <c r="H8" s="314">
        <f t="shared" si="1"/>
        <v>1</v>
      </c>
      <c r="I8" s="314">
        <f t="shared" si="1"/>
        <v>1</v>
      </c>
      <c r="J8" s="314">
        <f t="shared" si="1"/>
        <v>1</v>
      </c>
      <c r="K8" s="315" t="s">
        <v>432</v>
      </c>
      <c r="L8" s="314">
        <f t="shared" si="1"/>
        <v>1</v>
      </c>
      <c r="M8" s="314">
        <f t="shared" si="1"/>
        <v>1</v>
      </c>
      <c r="N8" s="315" t="s">
        <v>432</v>
      </c>
    </row>
    <row r="10" spans="2:14">
      <c r="B10" s="188" t="s">
        <v>633</v>
      </c>
    </row>
    <row r="11" spans="2:14" s="185" customFormat="1" ht="17">
      <c r="B11" s="2" t="s">
        <v>450</v>
      </c>
      <c r="C11" s="2" t="s">
        <v>451</v>
      </c>
    </row>
    <row r="12" spans="2:14" s="185" customFormat="1" ht="17">
      <c r="B12" s="2" t="s">
        <v>452</v>
      </c>
      <c r="C12" s="2" t="s">
        <v>493</v>
      </c>
    </row>
    <row r="13" spans="2:14" s="185" customFormat="1" ht="17">
      <c r="B13" s="2" t="s">
        <v>454</v>
      </c>
      <c r="C13" s="2" t="s">
        <v>455</v>
      </c>
    </row>
    <row r="14" spans="2:14" s="185" customFormat="1" ht="17">
      <c r="B14" s="2" t="s">
        <v>457</v>
      </c>
      <c r="C14" s="2" t="s">
        <v>458</v>
      </c>
    </row>
    <row r="15" spans="2:14" s="185" customFormat="1" ht="20.149999999999999" customHeight="1">
      <c r="B15" s="463" t="s">
        <v>459</v>
      </c>
      <c r="C15" s="463" t="s">
        <v>460</v>
      </c>
      <c r="D15" s="464" t="s">
        <v>461</v>
      </c>
      <c r="E15" s="464" t="s">
        <v>461</v>
      </c>
      <c r="F15" s="464" t="s">
        <v>461</v>
      </c>
      <c r="G15" s="464" t="s">
        <v>461</v>
      </c>
      <c r="H15" s="464" t="s">
        <v>461</v>
      </c>
      <c r="I15" s="464" t="s">
        <v>461</v>
      </c>
      <c r="J15" s="464" t="s">
        <v>461</v>
      </c>
      <c r="K15" s="464" t="s">
        <v>461</v>
      </c>
      <c r="L15" s="464" t="s">
        <v>461</v>
      </c>
      <c r="M15" s="464" t="s">
        <v>461</v>
      </c>
    </row>
    <row r="16" spans="2:14" s="185" customFormat="1" ht="20.149999999999999" customHeight="1">
      <c r="B16" s="464" t="s">
        <v>459</v>
      </c>
      <c r="C16" s="464" t="s">
        <v>460</v>
      </c>
      <c r="D16" s="318" t="s">
        <v>483</v>
      </c>
      <c r="E16" s="317" t="s">
        <v>484</v>
      </c>
      <c r="F16" s="318" t="s">
        <v>485</v>
      </c>
      <c r="G16" s="318" t="s">
        <v>486</v>
      </c>
      <c r="H16" s="318" t="s">
        <v>487</v>
      </c>
      <c r="I16" s="318" t="s">
        <v>488</v>
      </c>
      <c r="J16" s="318" t="s">
        <v>489</v>
      </c>
      <c r="K16" s="318" t="s">
        <v>490</v>
      </c>
      <c r="L16" s="317" t="s">
        <v>491</v>
      </c>
      <c r="M16" s="317" t="s">
        <v>492</v>
      </c>
    </row>
    <row r="17" spans="2:13" s="185" customFormat="1" ht="20.149999999999999" customHeight="1">
      <c r="B17" s="319" t="s">
        <v>467</v>
      </c>
      <c r="C17" s="319" t="s">
        <v>468</v>
      </c>
      <c r="D17" s="186">
        <v>23977.599999999999</v>
      </c>
      <c r="E17" s="186">
        <v>8599</v>
      </c>
      <c r="F17" s="186">
        <v>92.9</v>
      </c>
      <c r="G17" s="186">
        <v>614.4</v>
      </c>
      <c r="H17" s="186">
        <v>454.8</v>
      </c>
      <c r="I17" s="186">
        <v>87.5</v>
      </c>
      <c r="J17" s="186">
        <v>212.8</v>
      </c>
      <c r="K17" s="186">
        <v>13.5</v>
      </c>
      <c r="L17" s="186">
        <v>407</v>
      </c>
      <c r="M17" s="186">
        <v>1404.5</v>
      </c>
    </row>
    <row r="18" spans="2:13" s="185" customFormat="1" ht="20.149999999999999" customHeight="1">
      <c r="B18" s="319" t="s">
        <v>469</v>
      </c>
      <c r="C18" s="319" t="s">
        <v>468</v>
      </c>
      <c r="D18" s="186">
        <v>100.8</v>
      </c>
      <c r="E18" s="186">
        <v>206.9</v>
      </c>
      <c r="F18" s="187" t="s">
        <v>39</v>
      </c>
      <c r="G18" s="186">
        <v>1.3</v>
      </c>
      <c r="H18" s="186">
        <v>63.4</v>
      </c>
      <c r="I18" s="187" t="s">
        <v>39</v>
      </c>
      <c r="J18" s="187" t="s">
        <v>39</v>
      </c>
      <c r="K18" s="187" t="s">
        <v>39</v>
      </c>
      <c r="L18" s="187" t="s">
        <v>39</v>
      </c>
      <c r="M18" s="186">
        <v>0</v>
      </c>
    </row>
    <row r="19" spans="2:13" s="185" customFormat="1" ht="20.149999999999999" customHeight="1">
      <c r="B19" s="319" t="s">
        <v>475</v>
      </c>
      <c r="C19" s="319" t="s">
        <v>468</v>
      </c>
      <c r="D19" s="186">
        <v>19772.5</v>
      </c>
      <c r="E19" s="186">
        <v>5725.5</v>
      </c>
      <c r="F19" s="186">
        <v>6.2</v>
      </c>
      <c r="G19" s="186">
        <v>12.8</v>
      </c>
      <c r="H19" s="186">
        <v>33.299999999999997</v>
      </c>
      <c r="I19" s="186">
        <v>0.5</v>
      </c>
      <c r="J19" s="186">
        <v>1.3</v>
      </c>
      <c r="K19" s="186">
        <v>0</v>
      </c>
      <c r="L19" s="186">
        <v>3.1</v>
      </c>
      <c r="M19" s="186">
        <v>29.5</v>
      </c>
    </row>
    <row r="20" spans="2:13" s="185" customFormat="1" ht="20.149999999999999" customHeight="1">
      <c r="B20" s="320" t="s">
        <v>456</v>
      </c>
      <c r="C20" s="319" t="s">
        <v>58</v>
      </c>
      <c r="D20" s="186">
        <v>0</v>
      </c>
      <c r="E20" s="186">
        <v>0</v>
      </c>
      <c r="F20" s="187" t="s">
        <v>39</v>
      </c>
      <c r="G20" s="186">
        <v>0</v>
      </c>
      <c r="H20" s="187" t="s">
        <v>39</v>
      </c>
      <c r="I20" s="187" t="s">
        <v>39</v>
      </c>
      <c r="J20" s="186">
        <v>0</v>
      </c>
      <c r="K20" s="186">
        <v>0</v>
      </c>
      <c r="L20" s="186">
        <v>0</v>
      </c>
      <c r="M20" s="186">
        <v>0</v>
      </c>
    </row>
    <row r="21" spans="2:13" s="185" customFormat="1" ht="20.149999999999999" customHeight="1">
      <c r="B21" s="320" t="s">
        <v>456</v>
      </c>
      <c r="C21" s="319" t="s">
        <v>476</v>
      </c>
      <c r="D21" s="186">
        <v>0.9</v>
      </c>
      <c r="E21" s="186">
        <v>0.3</v>
      </c>
      <c r="F21" s="186">
        <v>0.3</v>
      </c>
      <c r="G21" s="186">
        <v>2.5</v>
      </c>
      <c r="H21" s="187" t="s">
        <v>39</v>
      </c>
      <c r="I21" s="186">
        <v>0</v>
      </c>
      <c r="J21" s="186">
        <v>0.2</v>
      </c>
      <c r="K21" s="186">
        <v>0</v>
      </c>
      <c r="L21" s="186">
        <v>0.8</v>
      </c>
      <c r="M21" s="186">
        <v>0.5</v>
      </c>
    </row>
    <row r="22" spans="2:13" s="185" customFormat="1" ht="20.149999999999999" customHeight="1">
      <c r="B22" s="320" t="s">
        <v>456</v>
      </c>
      <c r="C22" s="319" t="s">
        <v>59</v>
      </c>
      <c r="D22" s="186">
        <v>0.8</v>
      </c>
      <c r="E22" s="186">
        <v>0.2</v>
      </c>
      <c r="F22" s="186">
        <v>0.5</v>
      </c>
      <c r="G22" s="186">
        <v>0.3</v>
      </c>
      <c r="H22" s="186">
        <v>0</v>
      </c>
      <c r="I22" s="186">
        <v>0</v>
      </c>
      <c r="J22" s="186">
        <v>0.1</v>
      </c>
      <c r="K22" s="186">
        <v>0</v>
      </c>
      <c r="L22" s="186">
        <v>0.2</v>
      </c>
      <c r="M22" s="186">
        <v>0.9</v>
      </c>
    </row>
    <row r="23" spans="2:13" s="185" customFormat="1" ht="20.149999999999999" customHeight="1">
      <c r="B23" s="320" t="s">
        <v>456</v>
      </c>
      <c r="C23" s="319" t="s">
        <v>477</v>
      </c>
      <c r="D23" s="187" t="s">
        <v>39</v>
      </c>
      <c r="E23" s="187" t="s">
        <v>39</v>
      </c>
      <c r="F23" s="187" t="s">
        <v>39</v>
      </c>
      <c r="G23" s="187" t="s">
        <v>39</v>
      </c>
      <c r="H23" s="187" t="s">
        <v>39</v>
      </c>
      <c r="I23" s="187" t="s">
        <v>39</v>
      </c>
      <c r="J23" s="187" t="s">
        <v>39</v>
      </c>
      <c r="K23" s="187" t="s">
        <v>39</v>
      </c>
      <c r="L23" s="186">
        <v>0.2</v>
      </c>
      <c r="M23" s="186">
        <v>0.1</v>
      </c>
    </row>
    <row r="24" spans="2:13" s="185" customFormat="1" ht="20.149999999999999" customHeight="1">
      <c r="B24" s="320" t="s">
        <v>456</v>
      </c>
      <c r="C24" s="319" t="s">
        <v>478</v>
      </c>
      <c r="D24" s="187" t="s">
        <v>39</v>
      </c>
      <c r="E24" s="187" t="s">
        <v>39</v>
      </c>
      <c r="F24" s="187" t="s">
        <v>39</v>
      </c>
      <c r="G24" s="186">
        <v>0.2</v>
      </c>
      <c r="H24" s="187" t="s">
        <v>39</v>
      </c>
      <c r="I24" s="187" t="s">
        <v>39</v>
      </c>
      <c r="J24" s="187" t="s">
        <v>39</v>
      </c>
      <c r="K24" s="187" t="s">
        <v>39</v>
      </c>
      <c r="L24" s="187" t="s">
        <v>39</v>
      </c>
      <c r="M24" s="186">
        <v>0.1</v>
      </c>
    </row>
    <row r="25" spans="2:13" s="185" customFormat="1" ht="20.149999999999999" customHeight="1">
      <c r="B25" s="320" t="s">
        <v>456</v>
      </c>
      <c r="C25" s="319" t="s">
        <v>479</v>
      </c>
      <c r="D25" s="186">
        <v>340</v>
      </c>
      <c r="E25" s="187" t="s">
        <v>39</v>
      </c>
      <c r="F25" s="186">
        <v>5.3</v>
      </c>
      <c r="G25" s="186">
        <v>3</v>
      </c>
      <c r="H25" s="186">
        <v>8.6999999999999993</v>
      </c>
      <c r="I25" s="187" t="s">
        <v>39</v>
      </c>
      <c r="J25" s="186">
        <v>0</v>
      </c>
      <c r="K25" s="187" t="s">
        <v>39</v>
      </c>
      <c r="L25" s="186">
        <v>0.8</v>
      </c>
      <c r="M25" s="186">
        <v>8.1999999999999993</v>
      </c>
    </row>
    <row r="26" spans="2:13" s="185" customFormat="1" ht="20.149999999999999" customHeight="1">
      <c r="B26" s="320" t="s">
        <v>456</v>
      </c>
      <c r="C26" s="319" t="s">
        <v>163</v>
      </c>
      <c r="D26" s="186">
        <v>16323.8</v>
      </c>
      <c r="E26" s="186">
        <v>4525.5</v>
      </c>
      <c r="F26" s="187" t="s">
        <v>39</v>
      </c>
      <c r="G26" s="187" t="s">
        <v>39</v>
      </c>
      <c r="H26" s="187" t="s">
        <v>39</v>
      </c>
      <c r="I26" s="187" t="s">
        <v>39</v>
      </c>
      <c r="J26" s="187" t="s">
        <v>39</v>
      </c>
      <c r="K26" s="187" t="s">
        <v>39</v>
      </c>
      <c r="L26" s="187" t="s">
        <v>39</v>
      </c>
      <c r="M26" s="186">
        <v>0.3</v>
      </c>
    </row>
    <row r="27" spans="2:13" s="185" customFormat="1" ht="20.149999999999999" customHeight="1">
      <c r="B27" s="320" t="s">
        <v>456</v>
      </c>
      <c r="C27" s="319" t="s">
        <v>154</v>
      </c>
      <c r="D27" s="186">
        <v>2103.9</v>
      </c>
      <c r="E27" s="186">
        <v>817.1</v>
      </c>
      <c r="F27" s="186">
        <v>0.1</v>
      </c>
      <c r="G27" s="186">
        <v>5.8</v>
      </c>
      <c r="H27" s="186">
        <v>24.6</v>
      </c>
      <c r="I27" s="186">
        <v>0.5</v>
      </c>
      <c r="J27" s="186">
        <v>0.1</v>
      </c>
      <c r="K27" s="186">
        <v>0</v>
      </c>
      <c r="L27" s="186">
        <v>0.9</v>
      </c>
      <c r="M27" s="186">
        <v>18.100000000000001</v>
      </c>
    </row>
    <row r="28" spans="2:13" s="185" customFormat="1" ht="20.149999999999999" customHeight="1">
      <c r="B28" s="320" t="s">
        <v>456</v>
      </c>
      <c r="C28" s="319" t="s">
        <v>155</v>
      </c>
      <c r="D28" s="186">
        <v>142</v>
      </c>
      <c r="E28" s="186">
        <v>160.4</v>
      </c>
      <c r="F28" s="186">
        <v>0</v>
      </c>
      <c r="G28" s="186">
        <v>0</v>
      </c>
      <c r="H28" s="187" t="s">
        <v>39</v>
      </c>
      <c r="I28" s="187" t="s">
        <v>39</v>
      </c>
      <c r="J28" s="187" t="s">
        <v>39</v>
      </c>
      <c r="K28" s="186">
        <v>0</v>
      </c>
      <c r="L28" s="186">
        <v>0</v>
      </c>
      <c r="M28" s="186">
        <v>0</v>
      </c>
    </row>
    <row r="29" spans="2:13" s="185" customFormat="1" ht="20.149999999999999" customHeight="1">
      <c r="B29" s="320" t="s">
        <v>456</v>
      </c>
      <c r="C29" s="319" t="s">
        <v>480</v>
      </c>
      <c r="D29" s="186">
        <v>861</v>
      </c>
      <c r="E29" s="186">
        <v>222</v>
      </c>
      <c r="F29" s="186">
        <v>0.1</v>
      </c>
      <c r="G29" s="186">
        <v>0.9</v>
      </c>
      <c r="H29" s="187" t="s">
        <v>39</v>
      </c>
      <c r="I29" s="186">
        <v>0</v>
      </c>
      <c r="J29" s="186">
        <v>0.9</v>
      </c>
      <c r="K29" s="187" t="s">
        <v>39</v>
      </c>
      <c r="L29" s="186">
        <v>0.3</v>
      </c>
      <c r="M29" s="186">
        <v>1.3</v>
      </c>
    </row>
    <row r="30" spans="2:13" s="185" customFormat="1" ht="20.149999999999999" customHeight="1">
      <c r="B30" s="319" t="s">
        <v>85</v>
      </c>
      <c r="C30" s="319" t="s">
        <v>468</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49999999999999" customHeight="1">
      <c r="B31" s="319" t="s">
        <v>481</v>
      </c>
      <c r="C31" s="319" t="s">
        <v>468</v>
      </c>
      <c r="D31" s="186">
        <v>162.6</v>
      </c>
      <c r="E31" s="186">
        <v>3.6</v>
      </c>
      <c r="F31" s="186">
        <v>2</v>
      </c>
      <c r="G31" s="187" t="s">
        <v>39</v>
      </c>
      <c r="H31" s="186">
        <v>0.2</v>
      </c>
      <c r="I31" s="187" t="s">
        <v>39</v>
      </c>
      <c r="J31" s="187" t="s">
        <v>39</v>
      </c>
      <c r="K31" s="187" t="s">
        <v>39</v>
      </c>
      <c r="L31" s="187" t="s">
        <v>39</v>
      </c>
      <c r="M31" s="186">
        <v>1.9</v>
      </c>
    </row>
    <row r="32" spans="2:13" s="185" customFormat="1" ht="20.149999999999999" customHeight="1">
      <c r="B32" s="319" t="s">
        <v>121</v>
      </c>
      <c r="C32" s="319" t="s">
        <v>468</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49999999999999" customHeight="1">
      <c r="B33" s="321" t="s">
        <v>482</v>
      </c>
      <c r="C33" s="321" t="s">
        <v>468</v>
      </c>
      <c r="D33" s="186">
        <v>2203.4</v>
      </c>
      <c r="E33" s="186">
        <v>1137.7</v>
      </c>
      <c r="F33" s="186">
        <v>67.400000000000006</v>
      </c>
      <c r="G33" s="186">
        <v>311.5</v>
      </c>
      <c r="H33" s="186">
        <v>216.1</v>
      </c>
      <c r="I33" s="186">
        <v>53.7</v>
      </c>
      <c r="J33" s="186">
        <v>117.3</v>
      </c>
      <c r="K33" s="186">
        <v>9.6</v>
      </c>
      <c r="L33" s="186">
        <v>239.3</v>
      </c>
      <c r="M33" s="186">
        <v>1039.8</v>
      </c>
    </row>
    <row r="35" spans="2:13">
      <c r="B35" s="188" t="s">
        <v>630</v>
      </c>
      <c r="C35" s="188"/>
    </row>
    <row r="36" spans="2:13">
      <c r="C36" s="312" t="s">
        <v>446</v>
      </c>
      <c r="D36" s="312" t="s">
        <v>447</v>
      </c>
    </row>
    <row r="37" spans="2:13">
      <c r="B37" s="176" t="s">
        <v>445</v>
      </c>
      <c r="C37" s="177">
        <f>SUM('2019 KESIS Energy Balance'!Z59:AE59)</f>
        <v>50.731999999999999</v>
      </c>
      <c r="D37" s="178">
        <f>C37/SUM($C$37:$C$39)</f>
        <v>4.8876454289358787E-2</v>
      </c>
    </row>
    <row r="38" spans="2:13">
      <c r="B38" s="176" t="s">
        <v>423</v>
      </c>
      <c r="C38" s="177">
        <f>SUM('2019 KESIS Energy Balance'!AF59:AH59)</f>
        <v>174.44899999999998</v>
      </c>
      <c r="D38" s="178">
        <f>C38/SUM($C$37:$C$39)</f>
        <v>0.16806844938745466</v>
      </c>
    </row>
    <row r="39" spans="2:13">
      <c r="B39" s="176" t="s">
        <v>424</v>
      </c>
      <c r="C39" s="177">
        <f>SUM('2019 KESIS Energy Balance'!W59:Z59)</f>
        <v>812.7829999999999</v>
      </c>
      <c r="D39" s="178">
        <f>C39/SUM($C$37:$C$39)</f>
        <v>0.78305509632318648</v>
      </c>
    </row>
  </sheetData>
  <mergeCells count="3">
    <mergeCell ref="B15:B16"/>
    <mergeCell ref="C15:C16"/>
    <mergeCell ref="D15:M15"/>
  </mergeCells>
  <phoneticPr fontId="3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11" t="s">
        <v>627</v>
      </c>
    </row>
    <row r="4" spans="2:14">
      <c r="B4" s="188" t="s">
        <v>631</v>
      </c>
      <c r="C4" s="188"/>
    </row>
    <row r="5" spans="2:14" s="330" customFormat="1" ht="29">
      <c r="B5" s="326"/>
      <c r="C5" s="326" t="s">
        <v>634</v>
      </c>
      <c r="D5" s="326" t="s">
        <v>635</v>
      </c>
      <c r="E5" s="326" t="s">
        <v>416</v>
      </c>
      <c r="F5" s="329" t="s">
        <v>417</v>
      </c>
      <c r="G5" s="329" t="s">
        <v>418</v>
      </c>
      <c r="H5" s="329" t="s">
        <v>419</v>
      </c>
      <c r="I5" s="329" t="s">
        <v>420</v>
      </c>
      <c r="J5" s="329" t="s">
        <v>421</v>
      </c>
      <c r="K5" s="329" t="s">
        <v>422</v>
      </c>
      <c r="L5" s="329" t="s">
        <v>423</v>
      </c>
      <c r="M5" s="329" t="s">
        <v>424</v>
      </c>
      <c r="N5" s="329" t="s">
        <v>425</v>
      </c>
    </row>
    <row r="6" spans="2:14" s="333" customFormat="1" ht="29">
      <c r="B6" s="346" t="s">
        <v>16</v>
      </c>
      <c r="C6" s="347" t="str">
        <f>VLOOKUP($B6,About!$B$31:$E$55,3,0)</f>
        <v>EndUse&gt;Industry&gt;non-ferrous metals</v>
      </c>
      <c r="D6" s="347" t="str">
        <f>VLOOKUP($B6,About!$B$31:$E$55,4,0)</f>
        <v>Primary non-ferrous metals manufacturing</v>
      </c>
      <c r="E6" s="348">
        <f>D40/SUM(D40:H40)</f>
        <v>0.33838301347488775</v>
      </c>
      <c r="F6" s="348">
        <f>D18/SUM(D18:H18)</f>
        <v>0.97029702970297016</v>
      </c>
      <c r="G6" s="349">
        <f>D37/SUM(D37:H37)</f>
        <v>0.40929344366645448</v>
      </c>
      <c r="H6" s="348">
        <f>D38/SUM(D38:H38)</f>
        <v>0.76582278481012667</v>
      </c>
      <c r="I6" s="348">
        <f>SUM(D27:D29)/SUM(D27:H29)</f>
        <v>0.10526315789473685</v>
      </c>
      <c r="J6" s="349">
        <f>D39/SUM(D39:H39)</f>
        <v>0.59027777777777779</v>
      </c>
      <c r="K6" s="346" t="s">
        <v>433</v>
      </c>
      <c r="L6" s="348">
        <f>SUM(D30:D32)/SUM(D30:H32)</f>
        <v>0.93931398416886547</v>
      </c>
      <c r="M6" s="348">
        <f>SUM(D34:D35)/SUM(D34:H35)</f>
        <v>0.38990825688073388</v>
      </c>
      <c r="N6" s="346" t="s">
        <v>433</v>
      </c>
    </row>
    <row r="7" spans="2:14" s="333" customFormat="1" ht="72.5">
      <c r="B7" s="350" t="s">
        <v>17</v>
      </c>
      <c r="C7" s="351" t="str">
        <f>VLOOKUP($B7,About!$B$31:$E$55,3,0)</f>
        <v>EndUse&gt;Industry&gt;non-ferrous metals</v>
      </c>
      <c r="D7" s="351" t="str">
        <f>VLOOKUP($B7,About!$B$31:$E$55,4,0)</f>
        <v>Metal Foundry, Structural Metal Products, Tank and Steam Generator Manufacturing, Weapons and Gun Ammunition Manufacturing, other Metalworking Products Manufacturing</v>
      </c>
      <c r="E7" s="352">
        <f>1-E6</f>
        <v>0.66161698652511225</v>
      </c>
      <c r="F7" s="352">
        <f t="shared" ref="F7:M7" si="0">1-F6</f>
        <v>2.970297029702984E-2</v>
      </c>
      <c r="G7" s="352">
        <f t="shared" si="0"/>
        <v>0.59070655633354552</v>
      </c>
      <c r="H7" s="352">
        <f t="shared" si="0"/>
        <v>0.23417721518987333</v>
      </c>
      <c r="I7" s="352">
        <f t="shared" si="0"/>
        <v>0.89473684210526316</v>
      </c>
      <c r="J7" s="352">
        <f t="shared" si="0"/>
        <v>0.40972222222222221</v>
      </c>
      <c r="K7" s="350" t="s">
        <v>432</v>
      </c>
      <c r="L7" s="352">
        <f t="shared" si="0"/>
        <v>6.0686015831134532E-2</v>
      </c>
      <c r="M7" s="352">
        <f t="shared" si="0"/>
        <v>0.61009174311926606</v>
      </c>
      <c r="N7" s="350" t="s">
        <v>432</v>
      </c>
    </row>
    <row r="8" spans="2:14" s="327" customFormat="1">
      <c r="B8" s="327" t="s">
        <v>495</v>
      </c>
      <c r="E8" s="328">
        <f t="shared" ref="E8:N8" si="1">SUM(E6:E7)</f>
        <v>1</v>
      </c>
      <c r="F8" s="328">
        <f t="shared" si="1"/>
        <v>1</v>
      </c>
      <c r="G8" s="328">
        <f t="shared" si="1"/>
        <v>1</v>
      </c>
      <c r="H8" s="328">
        <f t="shared" si="1"/>
        <v>1</v>
      </c>
      <c r="I8" s="328">
        <f t="shared" si="1"/>
        <v>1</v>
      </c>
      <c r="J8" s="328">
        <f t="shared" si="1"/>
        <v>1</v>
      </c>
      <c r="K8" s="328">
        <f t="shared" si="1"/>
        <v>0</v>
      </c>
      <c r="L8" s="328">
        <f t="shared" si="1"/>
        <v>1</v>
      </c>
      <c r="M8" s="328">
        <f t="shared" si="1"/>
        <v>1</v>
      </c>
      <c r="N8" s="328">
        <f t="shared" si="1"/>
        <v>0</v>
      </c>
    </row>
    <row r="10" spans="2:14" s="185" customFormat="1" ht="17">
      <c r="B10" s="188" t="s">
        <v>633</v>
      </c>
      <c r="C10" s="2"/>
    </row>
    <row r="11" spans="2:14" s="185" customFormat="1" ht="17">
      <c r="B11" s="2" t="s">
        <v>450</v>
      </c>
      <c r="C11" s="2" t="s">
        <v>451</v>
      </c>
    </row>
    <row r="12" spans="2:14" s="185" customFormat="1" ht="17">
      <c r="B12" s="2" t="s">
        <v>452</v>
      </c>
      <c r="C12" s="2" t="s">
        <v>496</v>
      </c>
    </row>
    <row r="13" spans="2:14" s="185" customFormat="1" ht="17">
      <c r="B13" s="2" t="s">
        <v>454</v>
      </c>
      <c r="C13" s="2" t="s">
        <v>455</v>
      </c>
    </row>
    <row r="14" spans="2:14" s="185" customFormat="1" ht="17">
      <c r="B14" s="2" t="s">
        <v>457</v>
      </c>
      <c r="C14" s="2" t="s">
        <v>458</v>
      </c>
    </row>
    <row r="15" spans="2:14" s="185" customFormat="1" ht="20.149999999999999" customHeight="1">
      <c r="B15" s="463" t="s">
        <v>459</v>
      </c>
      <c r="C15" s="463" t="s">
        <v>460</v>
      </c>
      <c r="D15" s="465" t="s">
        <v>461</v>
      </c>
      <c r="E15" s="465" t="s">
        <v>461</v>
      </c>
      <c r="F15" s="465" t="s">
        <v>461</v>
      </c>
      <c r="G15" s="465" t="s">
        <v>461</v>
      </c>
      <c r="H15" s="465" t="s">
        <v>461</v>
      </c>
    </row>
    <row r="16" spans="2:14" s="185" customFormat="1" ht="20.149999999999999" customHeight="1">
      <c r="B16" s="464" t="s">
        <v>459</v>
      </c>
      <c r="C16" s="464" t="s">
        <v>460</v>
      </c>
      <c r="D16" s="318" t="s">
        <v>497</v>
      </c>
      <c r="E16" s="317" t="s">
        <v>498</v>
      </c>
      <c r="F16" s="317" t="s">
        <v>499</v>
      </c>
      <c r="G16" s="317" t="s">
        <v>500</v>
      </c>
      <c r="H16" s="317" t="s">
        <v>501</v>
      </c>
    </row>
    <row r="17" spans="2:8" s="185" customFormat="1" ht="20.149999999999999" customHeight="1">
      <c r="B17" s="319" t="s">
        <v>467</v>
      </c>
      <c r="C17" s="319" t="s">
        <v>468</v>
      </c>
      <c r="D17" s="186">
        <v>1798.8</v>
      </c>
      <c r="E17" s="186">
        <v>307.2</v>
      </c>
      <c r="F17" s="186">
        <v>335.9</v>
      </c>
      <c r="G17" s="186">
        <v>47.5</v>
      </c>
      <c r="H17" s="186">
        <v>1404.5</v>
      </c>
    </row>
    <row r="18" spans="2:8" s="185" customFormat="1" ht="20.149999999999999" customHeight="1">
      <c r="B18" s="319" t="s">
        <v>469</v>
      </c>
      <c r="C18" s="319" t="s">
        <v>468</v>
      </c>
      <c r="D18" s="186">
        <v>284.2</v>
      </c>
      <c r="E18" s="186">
        <v>6.1</v>
      </c>
      <c r="F18" s="187" t="s">
        <v>39</v>
      </c>
      <c r="G18" s="187" t="s">
        <v>39</v>
      </c>
      <c r="H18" s="186">
        <v>2.6</v>
      </c>
    </row>
    <row r="19" spans="2:8" s="185" customFormat="1" ht="20.149999999999999" customHeight="1">
      <c r="B19" s="320" t="s">
        <v>456</v>
      </c>
      <c r="C19" s="319" t="s">
        <v>470</v>
      </c>
      <c r="D19" s="187" t="s">
        <v>39</v>
      </c>
      <c r="E19" s="186">
        <v>0.1</v>
      </c>
      <c r="F19" s="187" t="s">
        <v>39</v>
      </c>
      <c r="G19" s="187" t="s">
        <v>39</v>
      </c>
      <c r="H19" s="186">
        <v>0</v>
      </c>
    </row>
    <row r="20" spans="2:8" s="185" customFormat="1" ht="20.149999999999999" customHeight="1">
      <c r="B20" s="320" t="s">
        <v>456</v>
      </c>
      <c r="C20" s="319" t="s">
        <v>136</v>
      </c>
      <c r="D20" s="187" t="s">
        <v>39</v>
      </c>
      <c r="E20" s="187" t="s">
        <v>39</v>
      </c>
      <c r="F20" s="187" t="s">
        <v>39</v>
      </c>
      <c r="G20" s="187" t="s">
        <v>39</v>
      </c>
      <c r="H20" s="186">
        <v>0</v>
      </c>
    </row>
    <row r="21" spans="2:8" s="185" customFormat="1" ht="20.149999999999999" customHeight="1">
      <c r="B21" s="320" t="s">
        <v>456</v>
      </c>
      <c r="C21" s="319" t="s">
        <v>137</v>
      </c>
      <c r="D21" s="186">
        <v>131.6</v>
      </c>
      <c r="E21" s="186">
        <v>4.5</v>
      </c>
      <c r="F21" s="187" t="s">
        <v>39</v>
      </c>
      <c r="G21" s="187" t="s">
        <v>39</v>
      </c>
      <c r="H21" s="187" t="s">
        <v>39</v>
      </c>
    </row>
    <row r="22" spans="2:8" s="185" customFormat="1" ht="20.149999999999999" customHeight="1">
      <c r="B22" s="320" t="s">
        <v>456</v>
      </c>
      <c r="C22" s="319" t="s">
        <v>471</v>
      </c>
      <c r="D22" s="186">
        <v>131.1</v>
      </c>
      <c r="E22" s="187" t="s">
        <v>39</v>
      </c>
      <c r="F22" s="187" t="s">
        <v>39</v>
      </c>
      <c r="G22" s="187" t="s">
        <v>39</v>
      </c>
      <c r="H22" s="187" t="s">
        <v>39</v>
      </c>
    </row>
    <row r="23" spans="2:8" s="185" customFormat="1" ht="20.149999999999999" customHeight="1">
      <c r="B23" s="320" t="s">
        <v>456</v>
      </c>
      <c r="C23" s="319" t="s">
        <v>472</v>
      </c>
      <c r="D23" s="187" t="s">
        <v>39</v>
      </c>
      <c r="E23" s="187" t="s">
        <v>39</v>
      </c>
      <c r="F23" s="187" t="s">
        <v>39</v>
      </c>
      <c r="G23" s="187" t="s">
        <v>39</v>
      </c>
      <c r="H23" s="187" t="s">
        <v>39</v>
      </c>
    </row>
    <row r="24" spans="2:8" s="185" customFormat="1" ht="20.149999999999999" customHeight="1">
      <c r="B24" s="320" t="s">
        <v>456</v>
      </c>
      <c r="C24" s="319" t="s">
        <v>473</v>
      </c>
      <c r="D24" s="186">
        <v>21.4</v>
      </c>
      <c r="E24" s="186">
        <v>1.5</v>
      </c>
      <c r="F24" s="187" t="s">
        <v>39</v>
      </c>
      <c r="G24" s="187" t="s">
        <v>39</v>
      </c>
      <c r="H24" s="186">
        <v>2.6</v>
      </c>
    </row>
    <row r="25" spans="2:8" s="185" customFormat="1" ht="20.149999999999999" customHeight="1">
      <c r="B25" s="320" t="s">
        <v>456</v>
      </c>
      <c r="C25" s="319" t="s">
        <v>474</v>
      </c>
      <c r="D25" s="187" t="s">
        <v>39</v>
      </c>
      <c r="E25" s="187" t="s">
        <v>39</v>
      </c>
      <c r="F25" s="187" t="s">
        <v>39</v>
      </c>
      <c r="G25" s="187" t="s">
        <v>39</v>
      </c>
      <c r="H25" s="186">
        <v>0</v>
      </c>
    </row>
    <row r="26" spans="2:8" s="185" customFormat="1" ht="20.149999999999999" customHeight="1">
      <c r="B26" s="319" t="s">
        <v>475</v>
      </c>
      <c r="C26" s="319" t="s">
        <v>468</v>
      </c>
      <c r="D26" s="186">
        <v>335.5</v>
      </c>
      <c r="E26" s="186">
        <v>17.600000000000001</v>
      </c>
      <c r="F26" s="186">
        <v>13.5</v>
      </c>
      <c r="G26" s="186">
        <v>5.4</v>
      </c>
      <c r="H26" s="186">
        <v>26.6</v>
      </c>
    </row>
    <row r="27" spans="2:8" s="185" customFormat="1" ht="20.149999999999999" customHeight="1">
      <c r="B27" s="320" t="s">
        <v>456</v>
      </c>
      <c r="C27" s="319" t="s">
        <v>58</v>
      </c>
      <c r="D27" s="186">
        <v>0</v>
      </c>
      <c r="E27" s="186">
        <v>0</v>
      </c>
      <c r="F27" s="186">
        <v>0</v>
      </c>
      <c r="G27" s="187" t="s">
        <v>39</v>
      </c>
      <c r="H27" s="186">
        <v>0.1</v>
      </c>
    </row>
    <row r="28" spans="2:8" s="185" customFormat="1" ht="20.149999999999999" customHeight="1">
      <c r="B28" s="320" t="s">
        <v>456</v>
      </c>
      <c r="C28" s="319" t="s">
        <v>476</v>
      </c>
      <c r="D28" s="186">
        <v>0.1</v>
      </c>
      <c r="E28" s="186">
        <v>0.4</v>
      </c>
      <c r="F28" s="186">
        <v>0</v>
      </c>
      <c r="G28" s="186">
        <v>0</v>
      </c>
      <c r="H28" s="186">
        <v>0.9</v>
      </c>
    </row>
    <row r="29" spans="2:8" s="185" customFormat="1" ht="20.149999999999999" customHeight="1">
      <c r="B29" s="320" t="s">
        <v>456</v>
      </c>
      <c r="C29" s="319" t="s">
        <v>59</v>
      </c>
      <c r="D29" s="186">
        <v>0.3</v>
      </c>
      <c r="E29" s="186">
        <v>0.5</v>
      </c>
      <c r="F29" s="186">
        <v>0.4</v>
      </c>
      <c r="G29" s="186">
        <v>0.1</v>
      </c>
      <c r="H29" s="186">
        <v>1</v>
      </c>
    </row>
    <row r="30" spans="2:8" s="185" customFormat="1" ht="20.149999999999999" customHeight="1">
      <c r="B30" s="320" t="s">
        <v>456</v>
      </c>
      <c r="C30" s="319" t="s">
        <v>477</v>
      </c>
      <c r="D30" s="186">
        <v>0</v>
      </c>
      <c r="E30" s="186">
        <v>0.2</v>
      </c>
      <c r="F30" s="186">
        <v>0.4</v>
      </c>
      <c r="G30" s="187" t="s">
        <v>39</v>
      </c>
      <c r="H30" s="186">
        <v>0</v>
      </c>
    </row>
    <row r="31" spans="2:8" s="185" customFormat="1" ht="20.149999999999999" customHeight="1">
      <c r="B31" s="320" t="s">
        <v>456</v>
      </c>
      <c r="C31" s="319" t="s">
        <v>478</v>
      </c>
      <c r="D31" s="187" t="s">
        <v>39</v>
      </c>
      <c r="E31" s="186">
        <v>0.3</v>
      </c>
      <c r="F31" s="187" t="s">
        <v>39</v>
      </c>
      <c r="G31" s="187" t="s">
        <v>39</v>
      </c>
      <c r="H31" s="187" t="s">
        <v>39</v>
      </c>
    </row>
    <row r="32" spans="2:8" s="185" customFormat="1" ht="20.149999999999999" customHeight="1">
      <c r="B32" s="320" t="s">
        <v>456</v>
      </c>
      <c r="C32" s="319" t="s">
        <v>479</v>
      </c>
      <c r="D32" s="186">
        <v>35.6</v>
      </c>
      <c r="E32" s="186">
        <v>0.1</v>
      </c>
      <c r="F32" s="186">
        <v>0.4</v>
      </c>
      <c r="G32" s="187" t="s">
        <v>39</v>
      </c>
      <c r="H32" s="186">
        <v>0.9</v>
      </c>
    </row>
    <row r="33" spans="2:8" s="185" customFormat="1" ht="20.149999999999999" customHeight="1">
      <c r="B33" s="320" t="s">
        <v>456</v>
      </c>
      <c r="C33" s="319" t="s">
        <v>163</v>
      </c>
      <c r="D33" s="187" t="s">
        <v>39</v>
      </c>
      <c r="E33" s="187" t="s">
        <v>39</v>
      </c>
      <c r="F33" s="187" t="s">
        <v>39</v>
      </c>
      <c r="G33" s="187" t="s">
        <v>39</v>
      </c>
      <c r="H33" s="187" t="s">
        <v>39</v>
      </c>
    </row>
    <row r="34" spans="2:8" s="185" customFormat="1" ht="20.149999999999999" customHeight="1">
      <c r="B34" s="320" t="s">
        <v>456</v>
      </c>
      <c r="C34" s="319" t="s">
        <v>154</v>
      </c>
      <c r="D34" s="186">
        <v>24.3</v>
      </c>
      <c r="E34" s="186">
        <v>11.1</v>
      </c>
      <c r="F34" s="186">
        <v>4.4000000000000004</v>
      </c>
      <c r="G34" s="186">
        <v>0.4</v>
      </c>
      <c r="H34" s="186">
        <v>23.3</v>
      </c>
    </row>
    <row r="35" spans="2:8" s="185" customFormat="1" ht="20.149999999999999" customHeight="1">
      <c r="B35" s="320" t="s">
        <v>456</v>
      </c>
      <c r="C35" s="319" t="s">
        <v>155</v>
      </c>
      <c r="D35" s="186">
        <v>1.2</v>
      </c>
      <c r="E35" s="186">
        <v>0</v>
      </c>
      <c r="F35" s="186">
        <v>0.4</v>
      </c>
      <c r="G35" s="186">
        <v>0</v>
      </c>
      <c r="H35" s="186">
        <v>0.3</v>
      </c>
    </row>
    <row r="36" spans="2:8" s="185" customFormat="1" ht="20.149999999999999" customHeight="1">
      <c r="B36" s="320" t="s">
        <v>456</v>
      </c>
      <c r="C36" s="319" t="s">
        <v>480</v>
      </c>
      <c r="D36" s="186">
        <v>274.2</v>
      </c>
      <c r="E36" s="186">
        <v>5</v>
      </c>
      <c r="F36" s="186">
        <v>7.4</v>
      </c>
      <c r="G36" s="186">
        <v>4.8</v>
      </c>
      <c r="H36" s="186">
        <v>0.1</v>
      </c>
    </row>
    <row r="37" spans="2:8" s="185" customFormat="1" ht="20.149999999999999" customHeight="1">
      <c r="B37" s="319" t="s">
        <v>85</v>
      </c>
      <c r="C37" s="319" t="s">
        <v>468</v>
      </c>
      <c r="D37" s="186">
        <v>257.2</v>
      </c>
      <c r="E37" s="186">
        <v>22.8</v>
      </c>
      <c r="F37" s="186">
        <v>62.4</v>
      </c>
      <c r="G37" s="186">
        <v>13</v>
      </c>
      <c r="H37" s="186">
        <v>273</v>
      </c>
    </row>
    <row r="38" spans="2:8" s="185" customFormat="1" ht="20.149999999999999" customHeight="1">
      <c r="B38" s="319" t="s">
        <v>481</v>
      </c>
      <c r="C38" s="319" t="s">
        <v>468</v>
      </c>
      <c r="D38" s="186">
        <v>84.7</v>
      </c>
      <c r="E38" s="186">
        <v>0.1</v>
      </c>
      <c r="F38" s="186">
        <v>9.1999999999999993</v>
      </c>
      <c r="G38" s="187" t="s">
        <v>39</v>
      </c>
      <c r="H38" s="186">
        <v>16.600000000000001</v>
      </c>
    </row>
    <row r="39" spans="2:8" s="185" customFormat="1" ht="20.149999999999999" customHeight="1">
      <c r="B39" s="319" t="s">
        <v>121</v>
      </c>
      <c r="C39" s="319" t="s">
        <v>468</v>
      </c>
      <c r="D39" s="186">
        <v>8.5</v>
      </c>
      <c r="E39" s="186">
        <v>0</v>
      </c>
      <c r="F39" s="187" t="s">
        <v>39</v>
      </c>
      <c r="G39" s="186">
        <v>1.8</v>
      </c>
      <c r="H39" s="186">
        <v>4.0999999999999996</v>
      </c>
    </row>
    <row r="40" spans="2:8" s="185" customFormat="1" ht="20.149999999999999" customHeight="1">
      <c r="B40" s="321" t="s">
        <v>482</v>
      </c>
      <c r="C40" s="321" t="s">
        <v>468</v>
      </c>
      <c r="D40" s="186">
        <v>828.7</v>
      </c>
      <c r="E40" s="186">
        <v>260.7</v>
      </c>
      <c r="F40" s="186">
        <v>250.8</v>
      </c>
      <c r="G40" s="186">
        <v>27.3</v>
      </c>
      <c r="H40" s="186">
        <v>1081.5</v>
      </c>
    </row>
    <row r="42" spans="2:8">
      <c r="B42" s="188" t="s">
        <v>630</v>
      </c>
      <c r="C42" s="188"/>
    </row>
    <row r="43" spans="2:8">
      <c r="C43" s="148" t="s">
        <v>446</v>
      </c>
      <c r="D43" s="148" t="s">
        <v>447</v>
      </c>
    </row>
    <row r="44" spans="2:8">
      <c r="B44" s="176" t="s">
        <v>445</v>
      </c>
      <c r="C44" s="177">
        <f>SUM('2019 KESIS Energy Balance'!Z62:AE62)</f>
        <v>3.2590000000000003</v>
      </c>
      <c r="D44" s="178">
        <f>C44/SUM($C$44:$C$46)</f>
        <v>0.1176789196215787</v>
      </c>
    </row>
    <row r="45" spans="2:8">
      <c r="B45" s="176" t="s">
        <v>423</v>
      </c>
      <c r="C45" s="177">
        <f>SUM('2019 KESIS Energy Balance'!AF62:AH62)</f>
        <v>12.266999999999999</v>
      </c>
      <c r="D45" s="178">
        <f>C45/SUM($C$44:$C$46)</f>
        <v>0.44294793095977469</v>
      </c>
    </row>
    <row r="46" spans="2:8">
      <c r="B46" s="176" t="s">
        <v>424</v>
      </c>
      <c r="C46" s="177">
        <f>SUM('2019 KESIS Energy Balance'!W62:Y62)</f>
        <v>12.167999999999999</v>
      </c>
      <c r="D46" s="178">
        <f>C46/SUM($C$44:$C$46)</f>
        <v>0.43937314941864664</v>
      </c>
    </row>
  </sheetData>
  <mergeCells count="3">
    <mergeCell ref="B15:B16"/>
    <mergeCell ref="C15:C16"/>
    <mergeCell ref="D15:H15"/>
  </mergeCells>
  <phoneticPr fontId="3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29" width="19.6640625" style="148" customWidth="1"/>
    <col min="30" max="16384" width="8.6640625" style="148"/>
  </cols>
  <sheetData>
    <row r="2" spans="2:14" ht="16">
      <c r="B2" s="311" t="s">
        <v>628</v>
      </c>
    </row>
    <row r="4" spans="2:14">
      <c r="B4" s="188" t="s">
        <v>631</v>
      </c>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ht="130.5">
      <c r="B6" s="355" t="s">
        <v>18</v>
      </c>
      <c r="C6" s="356" t="str">
        <f>VLOOKUP($B6,About!$B$31:$E$55,3,0)</f>
        <v>EndUse&gt;Industry&gt;machinery</v>
      </c>
      <c r="D6" s="356" t="str">
        <f>VLOOKUP($B6,About!$B$31:$E$55,4,0)</f>
        <v>Semiconductor manufacturing business, electronic component manufacturing business, computer and peripheral device manufacturing business, communication and broadcasting equipment manufacturing business, video and audio equipment manufacturing business</v>
      </c>
      <c r="E6" s="357">
        <f>SUM(D36:H36)/SUM($D$36:$AC$36)</f>
        <v>0.55477986857442951</v>
      </c>
      <c r="F6" s="357">
        <f>SUM(D21:H21)/SUM($D$21:$AC$21)</f>
        <v>0</v>
      </c>
      <c r="G6" s="357">
        <f>SUM(D33:H33)/SUM($D$33:$AC$33)</f>
        <v>0.5136790714812085</v>
      </c>
      <c r="H6" s="357">
        <f>SUM(D34:H34)/SUM($D$34:$AC$34)</f>
        <v>0.9375</v>
      </c>
      <c r="I6" s="357">
        <f>SUM(D23:H25)/SUM($D$23:$AC$25)</f>
        <v>1.0554089709762534E-2</v>
      </c>
      <c r="J6" s="357">
        <f>SUM(D35:H35)/SUM($D$35:$AC$35)</f>
        <v>0.80044101433296577</v>
      </c>
      <c r="K6" s="194" t="s">
        <v>433</v>
      </c>
      <c r="L6" s="357">
        <f>SUM(D26:H28)/SUM($D$26:$AC$28)</f>
        <v>0</v>
      </c>
      <c r="M6" s="357">
        <f>SUM(D30:H31)/SUM($D$30:$AC$31)</f>
        <v>4.0089086859688192E-2</v>
      </c>
      <c r="N6" s="194" t="s">
        <v>433</v>
      </c>
    </row>
    <row r="7" spans="2:14" ht="130.5">
      <c r="B7" s="358" t="s">
        <v>19</v>
      </c>
      <c r="C7" s="359" t="str">
        <f>VLOOKUP($B7,About!$B$31:$E$55,3,0)</f>
        <v>EndUse&gt;Industry&gt;machinery</v>
      </c>
      <c r="D7" s="359" t="str">
        <f>VLOOKUP($B7,About!$B$31:$E$55,4,0)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60">
        <f>SUM(N36:S36)/SUM($D$36:$AC$36)</f>
        <v>9.660932276121792E-2</v>
      </c>
      <c r="F7" s="360">
        <f>SUM(N21:S21)/SUM($D$21:$AC$21)</f>
        <v>0</v>
      </c>
      <c r="G7" s="360">
        <f>SUM(N33:S33)/SUM($D$33:$AC$33)</f>
        <v>7.5580324244657326E-2</v>
      </c>
      <c r="H7" s="360">
        <f>SUM(N34:S34)/SUM($D$34:$AC$34)</f>
        <v>0</v>
      </c>
      <c r="I7" s="360">
        <f>SUM(N23:S25)/SUM($D$23:$AC$25)</f>
        <v>1.3192612137203167E-2</v>
      </c>
      <c r="J7" s="360">
        <f>SUM(N35:S35)/SUM($D$35:$AC$35)</f>
        <v>0.16317530319735396</v>
      </c>
      <c r="K7" s="361" t="s">
        <v>432</v>
      </c>
      <c r="L7" s="360">
        <f>SUM(N26:S28)/SUM($D$26:$AC$28)</f>
        <v>1.515151515151515E-2</v>
      </c>
      <c r="M7" s="360">
        <f>SUM(N30:S31)/SUM($D$30:$AC$31)</f>
        <v>5.1224944320712694E-2</v>
      </c>
      <c r="N7" s="361" t="s">
        <v>432</v>
      </c>
    </row>
    <row r="8" spans="2:14" ht="159.5">
      <c r="B8" s="362" t="s">
        <v>20</v>
      </c>
      <c r="C8" s="363" t="str">
        <f>VLOOKUP($B8,About!$B$31:$E$55,3,0)</f>
        <v>EndUse&gt;Industry&gt;machinery</v>
      </c>
      <c r="D8" s="363" t="str">
        <f>VLOOKUP($B8,About!$B$31:$E$55,4,0)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64">
        <f>SUM(I36:M36,T36:U36)/SUM($D$36:$AC$36)</f>
        <v>0.15081916815043489</v>
      </c>
      <c r="F8" s="364">
        <f>SUM(I21:M21,T21:U21)/SUM($D$21:$AC$21)</f>
        <v>1</v>
      </c>
      <c r="G8" s="364">
        <f>SUM(I33:M33,T33:U33)/SUM($D$33:$AC$33)</f>
        <v>6.0058953574060409E-2</v>
      </c>
      <c r="H8" s="364">
        <f>SUM(I34:M34,T34:U34)/SUM($D$34:$AC$34)</f>
        <v>6.25E-2</v>
      </c>
      <c r="I8" s="364">
        <f>SUM(I23:M25,T23:U25)/SUM($D$23:$AC$25)</f>
        <v>5.4089709762532981E-2</v>
      </c>
      <c r="J8" s="364">
        <f>SUM(I35:M35,T35:U35)/SUM($D$35:$AC$35)</f>
        <v>7.1664829106945997E-3</v>
      </c>
      <c r="K8" s="365" t="s">
        <v>432</v>
      </c>
      <c r="L8" s="364">
        <f>SUM(I26:M28,,T26:U28)/SUM($D$26:$AC$28)</f>
        <v>0.33333333333333337</v>
      </c>
      <c r="M8" s="364">
        <f>SUM(I30:M31,T30:U31)/SUM($D$30:$AC$31)</f>
        <v>0.19376391982182625</v>
      </c>
      <c r="N8" s="365" t="s">
        <v>432</v>
      </c>
    </row>
    <row r="9" spans="2:14" ht="101.5">
      <c r="B9" s="366" t="s">
        <v>21</v>
      </c>
      <c r="C9" s="367" t="str">
        <f>VLOOKUP($B9,About!$B$31:$E$55,3,0)</f>
        <v>EndUse&gt;Industry&gt;transportation equiment</v>
      </c>
      <c r="D9" s="367" t="str">
        <f>VLOOKUP($B9,About!$B$31:$E$55,4,0)</f>
        <v>Automobile engine and automobile manufacturing business, automobile body and trailer manufacturing business, new automobile parts manufacturing business, automobile remanufactured parts manufacturing business</v>
      </c>
      <c r="E9" s="368">
        <f>SUM(I37:M37,V36:Y36)/SUM($D$36:$AC$36)</f>
        <v>0.15746730372628637</v>
      </c>
      <c r="F9" s="368">
        <f>SUM(V21:Y21)/SUM($D$21:$AC$21)</f>
        <v>0</v>
      </c>
      <c r="G9" s="368">
        <f>SUM(V33:Y33)/SUM($D$33:$AC$33)</f>
        <v>0.31553979366249074</v>
      </c>
      <c r="H9" s="368">
        <f>SUM(V34:Y34)/SUM($D$34:$AC$34)</f>
        <v>0</v>
      </c>
      <c r="I9" s="368">
        <f>SUM(V23:Y25)/SUM($D$23:$AC$25)</f>
        <v>0.46569920844327173</v>
      </c>
      <c r="J9" s="368">
        <f>SUM(V35:Y35)/SUM($D$35:$AC$35)</f>
        <v>2.9217199558985673E-2</v>
      </c>
      <c r="K9" s="369" t="s">
        <v>432</v>
      </c>
      <c r="L9" s="368">
        <f>SUM(V26:Y28)/SUM($D$26:$AC$28)</f>
        <v>0.10101010101010101</v>
      </c>
      <c r="M9" s="368">
        <f>SUM(V30:Y31)/SUM($D$30:$AC$31)</f>
        <v>0.47216035634743875</v>
      </c>
      <c r="N9" s="369" t="s">
        <v>432</v>
      </c>
    </row>
    <row r="10" spans="2:14" ht="87">
      <c r="B10" s="370" t="s">
        <v>22</v>
      </c>
      <c r="C10" s="371" t="str">
        <f>VLOOKUP($B10,About!$B$31:$E$55,3,0)</f>
        <v>EndUse&gt;Industry&gt;transportation equiment</v>
      </c>
      <c r="D10" s="371" t="str">
        <f>VLOOKUP($B10,About!$B$31:$E$55,4,0)</f>
        <v>Ship and boat construction business, railway equipment manufacturing business, aircraft, spaceship and parts manufacturing business, and other transportation equipment manufacturing business</v>
      </c>
      <c r="E10" s="372">
        <f>SUM(Z36:AD36)/SUM($D$36:$AC$36)</f>
        <v>4.0324336787631136E-2</v>
      </c>
      <c r="F10" s="372">
        <f>SUM(Z21:AC21)/SUM($D$21:$AC$21)</f>
        <v>0</v>
      </c>
      <c r="G10" s="372">
        <f>SUM(Z33:AC33)/SUM($D$33:$AC$33)</f>
        <v>3.5141857037582908E-2</v>
      </c>
      <c r="H10" s="372">
        <f>SUM(Z34:AC34)/SUM($D$34:$AC$34)</f>
        <v>0</v>
      </c>
      <c r="I10" s="372">
        <f>SUM(Z23:AC25)/SUM($D$23:$AC$25)</f>
        <v>0.45646437994722949</v>
      </c>
      <c r="J10" s="372">
        <f>SUM(Z35:AC35)/SUM($D$35:$AC$35)</f>
        <v>0</v>
      </c>
      <c r="K10" s="373" t="s">
        <v>432</v>
      </c>
      <c r="L10" s="372">
        <f>SUM(Z26:AC28)/SUM($D$26:$AC$28)</f>
        <v>0.5505050505050505</v>
      </c>
      <c r="M10" s="372">
        <f>SUM(Z30:AC31)/SUM($D$30:$AC$31)</f>
        <v>0.24276169265033407</v>
      </c>
      <c r="N10" s="373" t="s">
        <v>432</v>
      </c>
    </row>
    <row r="11" spans="2:14" s="151" customFormat="1">
      <c r="B11" s="354" t="s">
        <v>645</v>
      </c>
      <c r="C11" s="313"/>
      <c r="D11" s="313"/>
      <c r="E11" s="314">
        <f>SUM(E6:E10)</f>
        <v>0.99999999999999978</v>
      </c>
      <c r="F11" s="314">
        <f t="shared" ref="F11:M11" si="0">SUM(F6:F10)</f>
        <v>1</v>
      </c>
      <c r="G11" s="314">
        <f t="shared" si="0"/>
        <v>0.99999999999999989</v>
      </c>
      <c r="H11" s="314">
        <f t="shared" si="0"/>
        <v>1</v>
      </c>
      <c r="I11" s="314">
        <f t="shared" si="0"/>
        <v>1</v>
      </c>
      <c r="J11" s="314">
        <f t="shared" si="0"/>
        <v>1</v>
      </c>
      <c r="K11" s="149" t="s">
        <v>432</v>
      </c>
      <c r="L11" s="314">
        <f t="shared" si="0"/>
        <v>1</v>
      </c>
      <c r="M11" s="314">
        <f t="shared" si="0"/>
        <v>0.99999999999999989</v>
      </c>
      <c r="N11" s="149" t="s">
        <v>432</v>
      </c>
    </row>
    <row r="13" spans="2:14" s="185" customFormat="1" ht="17">
      <c r="B13" s="188" t="s">
        <v>633</v>
      </c>
      <c r="C13" s="2"/>
    </row>
    <row r="14" spans="2:14" s="185" customFormat="1" ht="17">
      <c r="B14" s="2" t="s">
        <v>450</v>
      </c>
      <c r="C14" s="2" t="s">
        <v>451</v>
      </c>
    </row>
    <row r="15" spans="2:14" s="185" customFormat="1" ht="17">
      <c r="B15" s="2" t="s">
        <v>452</v>
      </c>
      <c r="C15" s="2" t="s">
        <v>528</v>
      </c>
    </row>
    <row r="16" spans="2:14" s="185" customFormat="1" ht="17">
      <c r="B16" s="2" t="s">
        <v>454</v>
      </c>
      <c r="C16" s="2" t="s">
        <v>455</v>
      </c>
    </row>
    <row r="17" spans="2:29" s="185" customFormat="1" ht="17">
      <c r="B17" s="2" t="s">
        <v>457</v>
      </c>
      <c r="C17" s="2" t="s">
        <v>458</v>
      </c>
    </row>
    <row r="18" spans="2:29" s="185" customFormat="1" ht="20.149999999999999" customHeight="1">
      <c r="B18" s="463" t="s">
        <v>459</v>
      </c>
      <c r="C18" s="463" t="s">
        <v>460</v>
      </c>
      <c r="D18" s="465" t="s">
        <v>461</v>
      </c>
      <c r="E18" s="465" t="s">
        <v>461</v>
      </c>
      <c r="F18" s="465" t="s">
        <v>461</v>
      </c>
      <c r="G18" s="465" t="s">
        <v>461</v>
      </c>
      <c r="H18" s="465" t="s">
        <v>461</v>
      </c>
      <c r="I18" s="465" t="s">
        <v>461</v>
      </c>
      <c r="J18" s="465" t="s">
        <v>461</v>
      </c>
      <c r="K18" s="465" t="s">
        <v>461</v>
      </c>
      <c r="L18" s="465" t="s">
        <v>461</v>
      </c>
      <c r="M18" s="465" t="s">
        <v>461</v>
      </c>
      <c r="N18" s="465" t="s">
        <v>461</v>
      </c>
      <c r="O18" s="465" t="s">
        <v>461</v>
      </c>
      <c r="P18" s="465" t="s">
        <v>461</v>
      </c>
      <c r="Q18" s="465" t="s">
        <v>461</v>
      </c>
      <c r="R18" s="465" t="s">
        <v>461</v>
      </c>
      <c r="S18" s="465" t="s">
        <v>461</v>
      </c>
      <c r="T18" s="465" t="s">
        <v>461</v>
      </c>
      <c r="U18" s="465" t="s">
        <v>461</v>
      </c>
      <c r="V18" s="465" t="s">
        <v>461</v>
      </c>
      <c r="W18" s="465" t="s">
        <v>461</v>
      </c>
      <c r="X18" s="465" t="s">
        <v>461</v>
      </c>
      <c r="Y18" s="465" t="s">
        <v>461</v>
      </c>
      <c r="Z18" s="465" t="s">
        <v>461</v>
      </c>
      <c r="AA18" s="465" t="s">
        <v>461</v>
      </c>
      <c r="AB18" s="465" t="s">
        <v>461</v>
      </c>
      <c r="AC18" s="465" t="s">
        <v>461</v>
      </c>
    </row>
    <row r="19" spans="2:29" s="185" customFormat="1" ht="20.149999999999999" customHeight="1">
      <c r="B19" s="464" t="s">
        <v>459</v>
      </c>
      <c r="C19" s="464" t="s">
        <v>460</v>
      </c>
      <c r="D19" s="210" t="s">
        <v>502</v>
      </c>
      <c r="E19" s="210" t="s">
        <v>503</v>
      </c>
      <c r="F19" s="210" t="s">
        <v>504</v>
      </c>
      <c r="G19" s="210" t="s">
        <v>505</v>
      </c>
      <c r="H19" s="210" t="s">
        <v>506</v>
      </c>
      <c r="I19" s="212" t="s">
        <v>507</v>
      </c>
      <c r="J19" s="212" t="s">
        <v>508</v>
      </c>
      <c r="K19" s="212" t="s">
        <v>509</v>
      </c>
      <c r="L19" s="212" t="s">
        <v>510</v>
      </c>
      <c r="M19" s="212" t="s">
        <v>511</v>
      </c>
      <c r="N19" s="211" t="s">
        <v>512</v>
      </c>
      <c r="O19" s="211" t="s">
        <v>513</v>
      </c>
      <c r="P19" s="211" t="s">
        <v>514</v>
      </c>
      <c r="Q19" s="211" t="s">
        <v>515</v>
      </c>
      <c r="R19" s="211" t="s">
        <v>516</v>
      </c>
      <c r="S19" s="211" t="s">
        <v>517</v>
      </c>
      <c r="T19" s="212" t="s">
        <v>518</v>
      </c>
      <c r="U19" s="212" t="s">
        <v>519</v>
      </c>
      <c r="V19" s="213" t="s">
        <v>520</v>
      </c>
      <c r="W19" s="213" t="s">
        <v>521</v>
      </c>
      <c r="X19" s="213" t="s">
        <v>522</v>
      </c>
      <c r="Y19" s="213" t="s">
        <v>523</v>
      </c>
      <c r="Z19" s="214" t="s">
        <v>524</v>
      </c>
      <c r="AA19" s="214" t="s">
        <v>525</v>
      </c>
      <c r="AB19" s="214" t="s">
        <v>526</v>
      </c>
      <c r="AC19" s="214" t="s">
        <v>527</v>
      </c>
    </row>
    <row r="20" spans="2:29" s="185" customFormat="1" ht="20.149999999999999" customHeight="1">
      <c r="B20" s="319" t="s">
        <v>467</v>
      </c>
      <c r="C20" s="319" t="s">
        <v>468</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49999999999999" customHeight="1">
      <c r="B21" s="319" t="s">
        <v>469</v>
      </c>
      <c r="C21" s="319" t="s">
        <v>468</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49999999999999" customHeight="1">
      <c r="B22" s="319" t="s">
        <v>475</v>
      </c>
      <c r="C22" s="319" t="s">
        <v>468</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49999999999999" customHeight="1">
      <c r="B23" s="320" t="s">
        <v>456</v>
      </c>
      <c r="C23" s="31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49999999999999" customHeight="1">
      <c r="B24" s="320" t="s">
        <v>456</v>
      </c>
      <c r="C24" s="319" t="s">
        <v>476</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49999999999999" customHeight="1">
      <c r="B25" s="320" t="s">
        <v>456</v>
      </c>
      <c r="C25" s="31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49999999999999" customHeight="1">
      <c r="B26" s="320" t="s">
        <v>456</v>
      </c>
      <c r="C26" s="319" t="s">
        <v>477</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49999999999999" customHeight="1">
      <c r="B27" s="320" t="s">
        <v>456</v>
      </c>
      <c r="C27" s="319" t="s">
        <v>478</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49999999999999" customHeight="1">
      <c r="B28" s="320" t="s">
        <v>456</v>
      </c>
      <c r="C28" s="319" t="s">
        <v>479</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49999999999999" customHeight="1">
      <c r="B29" s="320" t="s">
        <v>456</v>
      </c>
      <c r="C29" s="31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49999999999999" customHeight="1">
      <c r="B30" s="320" t="s">
        <v>456</v>
      </c>
      <c r="C30" s="31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49999999999999" customHeight="1">
      <c r="B31" s="320" t="s">
        <v>456</v>
      </c>
      <c r="C31" s="31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49999999999999" customHeight="1">
      <c r="B32" s="320" t="s">
        <v>456</v>
      </c>
      <c r="C32" s="319" t="s">
        <v>480</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49999999999999" customHeight="1">
      <c r="B33" s="319" t="s">
        <v>85</v>
      </c>
      <c r="C33" s="319" t="s">
        <v>468</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49999999999999" customHeight="1">
      <c r="B34" s="319" t="s">
        <v>481</v>
      </c>
      <c r="C34" s="319" t="s">
        <v>468</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49999999999999" customHeight="1">
      <c r="B35" s="319" t="s">
        <v>121</v>
      </c>
      <c r="C35" s="319" t="s">
        <v>468</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49999999999999" customHeight="1">
      <c r="B36" s="321" t="s">
        <v>482</v>
      </c>
      <c r="C36" s="321" t="s">
        <v>468</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630</v>
      </c>
      <c r="C38" s="374"/>
      <c r="D38" s="312"/>
    </row>
    <row r="39" spans="2:29">
      <c r="C39" s="312" t="s">
        <v>446</v>
      </c>
      <c r="D39" s="312" t="s">
        <v>447</v>
      </c>
    </row>
    <row r="40" spans="2:29">
      <c r="B40" s="176" t="s">
        <v>445</v>
      </c>
      <c r="C40" s="177">
        <f>SUM('2019 KESIS Energy Balance'!Z63:AE64)</f>
        <v>162.25</v>
      </c>
      <c r="D40" s="178">
        <f>C40/SUM($C$40:$C$42)</f>
        <v>0.53352756257645306</v>
      </c>
    </row>
    <row r="41" spans="2:29">
      <c r="B41" s="176" t="s">
        <v>423</v>
      </c>
      <c r="C41" s="177">
        <f>SUM('2019 KESIS Energy Balance'!AF63:AH64)</f>
        <v>84.221000000000004</v>
      </c>
      <c r="D41" s="178">
        <f>C41/SUM($C$40:$C$42)</f>
        <v>0.27694437502466229</v>
      </c>
    </row>
    <row r="42" spans="2:29">
      <c r="B42" s="176" t="s">
        <v>424</v>
      </c>
      <c r="C42" s="177">
        <f>SUM('2019 KESIS Energy Balance'!W63:Y64)</f>
        <v>57.636999999999993</v>
      </c>
      <c r="D42" s="178">
        <f>C42/SUM($C$40:$C$42)</f>
        <v>0.18952806239888459</v>
      </c>
    </row>
  </sheetData>
  <mergeCells count="3">
    <mergeCell ref="B18:B19"/>
    <mergeCell ref="C18:C19"/>
    <mergeCell ref="D18:AC18"/>
  </mergeCells>
  <phoneticPr fontId="3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11" t="s">
        <v>629</v>
      </c>
    </row>
    <row r="4" spans="2:14">
      <c r="B4" s="188" t="s">
        <v>631</v>
      </c>
    </row>
    <row r="5" spans="2:14" s="325" customFormat="1" ht="29">
      <c r="B5" s="322"/>
      <c r="C5" s="322" t="s">
        <v>646</v>
      </c>
      <c r="D5" s="322" t="s">
        <v>635</v>
      </c>
      <c r="E5" s="322" t="s">
        <v>416</v>
      </c>
      <c r="F5" s="376" t="s">
        <v>417</v>
      </c>
      <c r="G5" s="376" t="s">
        <v>418</v>
      </c>
      <c r="H5" s="376" t="s">
        <v>419</v>
      </c>
      <c r="I5" s="376" t="s">
        <v>420</v>
      </c>
      <c r="J5" s="376" t="s">
        <v>421</v>
      </c>
      <c r="K5" s="376" t="s">
        <v>422</v>
      </c>
      <c r="L5" s="376" t="s">
        <v>423</v>
      </c>
      <c r="M5" s="376" t="s">
        <v>424</v>
      </c>
      <c r="N5" s="376" t="s">
        <v>425</v>
      </c>
    </row>
    <row r="6" spans="2:14" s="325" customFormat="1" ht="29">
      <c r="B6" s="326" t="s">
        <v>2</v>
      </c>
      <c r="C6" s="329" t="str">
        <f>VLOOKUP($B6,About!$B$31:$E$55,3,0)</f>
        <v>EndUse&gt;Industry&gt;agriculture and fishery</v>
      </c>
      <c r="D6" s="377">
        <f>VLOOKUP($B6,About!$B$31:$E$55,4,0)</f>
        <v>0</v>
      </c>
      <c r="E6" s="331">
        <f>SUM('2019 KESIS Energy Balance'!BH51,'2019 KESIS Energy Balance'!BH52)/SUM('2019 KESIS Energy Balance'!BH51:BH53,'2019 KESIS Energy Balance'!BH55:BH58,'2019 KESIS Energy Balance'!BH60,'2019 KESIS Energy Balance'!BH65:BH66)</f>
        <v>0.24518732467066875</v>
      </c>
      <c r="F6" s="331">
        <f>SUM('2019 KESIS Energy Balance'!D51:P51)/SUM('2019 KESIS Energy Balance'!D51:P53,'2019 KESIS Energy Balance'!D55:P58,'2019 KESIS Energy Balance'!D60:P60,'2019 KESIS Energy Balance'!D65:P66)</f>
        <v>1.1245283295027787E-2</v>
      </c>
      <c r="G6" s="332">
        <f>SUM('2019 KESIS Energy Balance'!Q51:R51)/SUM('2019 KESIS Energy Balance'!Q51:R53,'2019 KESIS Energy Balance'!Q55:R58,'2019 KESIS Energy Balance'!Q60:R60,'2019 KESIS Energy Balance'!Q65:R66)</f>
        <v>1.7271178993865361E-5</v>
      </c>
      <c r="H6" s="331">
        <f>SUM('2019 KESIS Energy Balance'!AP51:AX52)/SUM('2019 KESIS Energy Balance'!AP51:AX53,'2019 KESIS Energy Balance'!AP55:AX58,'2019 KESIS Energy Balance'!AP60:AX60,'2019 KESIS Energy Balance'!AP65:AX66)</f>
        <v>6.4885741127741509E-2</v>
      </c>
      <c r="I6" s="331">
        <f>SUM('2019 KESIS Energy Balance'!Z51:AE52)/SUM('2019 KESIS Energy Balance'!Z51:AE53,'2019 KESIS Energy Balance'!Z55:AE58,'2019 KESIS Energy Balance'!Z60:AE60,'2019 KESIS Energy Balance'!Z65:AE66)</f>
        <v>0.52772283732120484</v>
      </c>
      <c r="J6" s="332">
        <f>'2019 KESIS Energy Balance'!BI51/SUM('2019 KESIS Energy Balance'!BI51:BI53,'2019 KESIS Energy Balance'!BI55:BI58,'2019 KESIS Energy Balance'!BI60,'2019 KESIS Energy Balance'!BI65:BI66)</f>
        <v>0</v>
      </c>
      <c r="K6" s="326" t="s">
        <v>433</v>
      </c>
      <c r="L6" s="331">
        <f>SUM('2019 KESIS Energy Balance'!AF51:AH52)/SUM('2019 KESIS Energy Balance'!AF51:AH53,'2019 KESIS Energy Balance'!AF55:AH58,'2019 KESIS Energy Balance'!AF60:AH60,'2019 KESIS Energy Balance'!AF65:AH66)</f>
        <v>7.2250152556777844E-2</v>
      </c>
      <c r="M6" s="331">
        <f>SUM('2019 KESIS Energy Balance'!W51:Y52)/SUM('2019 KESIS Energy Balance'!W51:Y53,'2019 KESIS Energy Balance'!W55:Y58,'2019 KESIS Energy Balance'!W60:Y60,'2019 KESIS Energy Balance'!W65:Y66)</f>
        <v>6.2617354256935759E-3</v>
      </c>
      <c r="N6" s="326" t="s">
        <v>433</v>
      </c>
    </row>
    <row r="7" spans="2:14" s="325" customFormat="1" ht="29">
      <c r="B7" s="326" t="s">
        <v>5</v>
      </c>
      <c r="C7" s="329" t="str">
        <f>VLOOKUP($B7,About!$B$31:$E$55,3,0)</f>
        <v>EndUse&gt;Industry&gt;mining(exc. Coal mining)</v>
      </c>
      <c r="D7" s="377">
        <f>VLOOKUP($B7,About!$B$31:$E$55,4,0)</f>
        <v>0</v>
      </c>
      <c r="E7" s="331">
        <f>'2019 KESIS Energy Balance'!BH53/SUM('2019 KESIS Energy Balance'!BH51:BH53,'2019 KESIS Energy Balance'!BH55:BH58,'2019 KESIS Energy Balance'!BH60,'2019 KESIS Energy Balance'!BH65:BH66)</f>
        <v>2.1147186600081816E-2</v>
      </c>
      <c r="F7" s="378">
        <f>SUM('2019 KESIS Energy Balance'!D53:P53)/SUM('2019 KESIS Energy Balance'!D51:P53,'2019 KESIS Energy Balance'!D55:P58,'2019 KESIS Energy Balance'!D60:P60,'2019 KESIS Energy Balance'!D65:P66)</f>
        <v>0</v>
      </c>
      <c r="G7" s="379">
        <f>SUM('2019 KESIS Energy Balance'!Q53:R53)/SUM('2019 KESIS Energy Balance'!Q51:R53,'2019 KESIS Energy Balance'!Q55:R58,'2019 KESIS Energy Balance'!Q60:R60,'2019 KESIS Energy Balance'!Q65:R66)</f>
        <v>0</v>
      </c>
      <c r="H7" s="331">
        <f>SUM('2019 KESIS Energy Balance'!AP53:AX53)/SUM('2019 KESIS Energy Balance'!AP51:AX53,'2019 KESIS Energy Balance'!AP55:AX58,'2019 KESIS Energy Balance'!AP60:AX60,'2019 KESIS Energy Balance'!AP65:AX66)</f>
        <v>2.8951339071810415E-5</v>
      </c>
      <c r="I7" s="331">
        <f>SUM('2019 KESIS Energy Balance'!Z53:AE53)/SUM('2019 KESIS Energy Balance'!Z51:AE53,'2019 KESIS Energy Balance'!Z55:AE58,'2019 KESIS Energy Balance'!Z60:AE60,'2019 KESIS Energy Balance'!Z65:AE66)</f>
        <v>1.3689642221595119E-2</v>
      </c>
      <c r="J7" s="332">
        <f>'2019 KESIS Energy Balance'!BI53/SUM('2019 KESIS Energy Balance'!BI51:BI53,'2019 KESIS Energy Balance'!BI55:BI58,'2019 KESIS Energy Balance'!BI60,'2019 KESIS Energy Balance'!BI65:BI66)</f>
        <v>0</v>
      </c>
      <c r="K7" s="326" t="s">
        <v>432</v>
      </c>
      <c r="L7" s="331">
        <f>SUM('2019 KESIS Energy Balance'!AF53:AH53)/SUM('2019 KESIS Energy Balance'!AF51:AH53,'2019 KESIS Energy Balance'!AF55:AH58,'2019 KESIS Energy Balance'!AF60:AH60,'2019 KESIS Energy Balance'!AF65:AH66)</f>
        <v>9.4778778845214309E-3</v>
      </c>
      <c r="M7" s="331">
        <f>SUM('2019 KESIS Energy Balance'!W53:Z53)/SUM('2019 KESIS Energy Balance'!W51:Y53,'2019 KESIS Energy Balance'!W55:Y58,'2019 KESIS Energy Balance'!W60:Y60,'2019 KESIS Energy Balance'!W65:Y66)</f>
        <v>2.3007295411968053E-3</v>
      </c>
      <c r="N7" s="326" t="s">
        <v>432</v>
      </c>
    </row>
    <row r="8" spans="2:14" s="325" customFormat="1" ht="29">
      <c r="B8" s="326" t="s">
        <v>6</v>
      </c>
      <c r="C8" s="329" t="str">
        <f>VLOOKUP($B8,About!$B$31:$E$55,3,0)</f>
        <v>EndUse&gt;Industry&gt;food and tobacco</v>
      </c>
      <c r="D8" s="377">
        <f>VLOOKUP($B8,About!$B$31:$E$55,4,0)</f>
        <v>0</v>
      </c>
      <c r="E8" s="331">
        <f>'2019 KESIS Energy Balance'!BH55/SUM('2019 KESIS Energy Balance'!BH51:BH53,'2019 KESIS Energy Balance'!BH55:BH58,'2019 KESIS Energy Balance'!BH60,'2019 KESIS Energy Balance'!BH65:BH66)</f>
        <v>0.19424912379612064</v>
      </c>
      <c r="F8" s="378">
        <f>SUM('2019 KESIS Energy Balance'!D55:P55)/SUM('2019 KESIS Energy Balance'!D51:P53,'2019 KESIS Energy Balance'!D55:P58,'2019 KESIS Energy Balance'!D60:P60,'2019 KESIS Energy Balance'!D65:P66)</f>
        <v>0</v>
      </c>
      <c r="G8" s="379">
        <f>SUM('2019 KESIS Energy Balance'!Q55:R55)/SUM('2019 KESIS Energy Balance'!Q51:R53,'2019 KESIS Energy Balance'!Q55:R58,'2019 KESIS Energy Balance'!Q60:R60,'2019 KESIS Energy Balance'!Q65:R66)</f>
        <v>0.34223936421841389</v>
      </c>
      <c r="H8" s="331">
        <f>SUM('2019 KESIS Energy Balance'!AP55:AX55)/SUM('2019 KESIS Energy Balance'!AP51:AX53,'2019 KESIS Energy Balance'!AP55:AX58,'2019 KESIS Energy Balance'!AP60:AX60,'2019 KESIS Energy Balance'!AP65:AX66)</f>
        <v>2.4516476448326923E-2</v>
      </c>
      <c r="I8" s="331">
        <f>SUM('2019 KESIS Energy Balance'!Z55:AE55)/SUM('2019 KESIS Energy Balance'!Z51:AE53,'2019 KESIS Energy Balance'!Z55:AE58,'2019 KESIS Energy Balance'!Z60:AE60,'2019 KESIS Energy Balance'!Z65:AE66)</f>
        <v>1.5778228870258485E-2</v>
      </c>
      <c r="J8" s="332">
        <f>'2019 KESIS Energy Balance'!BI55/SUM('2019 KESIS Energy Balance'!BI51:BI53,'2019 KESIS Energy Balance'!BI55:BI58,'2019 KESIS Energy Balance'!BI60,'2019 KESIS Energy Balance'!BI65:BI66)</f>
        <v>0.20561907933404644</v>
      </c>
      <c r="K8" s="326" t="s">
        <v>432</v>
      </c>
      <c r="L8" s="331">
        <f>SUM('2019 KESIS Energy Balance'!AF55:AH55)/SUM('2019 KESIS Energy Balance'!AF51:AH53,'2019 KESIS Energy Balance'!AF55:AH58,'2019 KESIS Energy Balance'!AF60:AH60,'2019 KESIS Energy Balance'!AF65:AH66)</f>
        <v>4.2177570558661996E-2</v>
      </c>
      <c r="M8" s="331">
        <f>SUM('2019 KESIS Energy Balance'!W55:Y55)/SUM('2019 KESIS Energy Balance'!W51:Y53,'2019 KESIS Energy Balance'!W55:Y58,'2019 KESIS Energy Balance'!W60:Y60,'2019 KESIS Energy Balance'!W65:Y66)</f>
        <v>2.605930532673769E-2</v>
      </c>
      <c r="N8" s="326" t="s">
        <v>432</v>
      </c>
    </row>
    <row r="9" spans="2:14" s="325" customFormat="1" ht="29">
      <c r="B9" s="326" t="s">
        <v>7</v>
      </c>
      <c r="C9" s="329" t="str">
        <f>VLOOKUP($B9,About!$B$31:$E$55,3,0)</f>
        <v>EndUse&gt;Industry&gt;fiber and leather</v>
      </c>
      <c r="D9" s="377">
        <f>VLOOKUP($B9,About!$B$31:$E$55,4,0)</f>
        <v>0</v>
      </c>
      <c r="E9" s="331">
        <f>'2019 KESIS Energy Balance'!BH56/SUM('2019 KESIS Energy Balance'!BH51:BH53,'2019 KESIS Energy Balance'!BH55:BH58,'2019 KESIS Energy Balance'!BH60,'2019 KESIS Energy Balance'!BH65:BH66)</f>
        <v>0.14636678331811279</v>
      </c>
      <c r="F9" s="378">
        <f>SUM('2019 KESIS Energy Balance'!D56:P56)/SUM('2019 KESIS Energy Balance'!D51:P53,'2019 KESIS Energy Balance'!D55:P58,'2019 KESIS Energy Balance'!D60:P60,'2019 KESIS Energy Balance'!D65:P66)</f>
        <v>9.4724608667475202E-2</v>
      </c>
      <c r="G9" s="379">
        <f>SUM('2019 KESIS Energy Balance'!Q56:R56)/SUM('2019 KESIS Energy Balance'!Q51:R53,'2019 KESIS Energy Balance'!Q55:R58,'2019 KESIS Energy Balance'!Q60:R60,'2019 KESIS Energy Balance'!Q65:R66)</f>
        <v>0.10993231804075747</v>
      </c>
      <c r="H9" s="331">
        <f>SUM('2019 KESIS Energy Balance'!AP56:AX56)/SUM('2019 KESIS Energy Balance'!AP51:AX53,'2019 KESIS Energy Balance'!AP55:AX58,'2019 KESIS Energy Balance'!AP60:AX60,'2019 KESIS Energy Balance'!AP65:AX66)</f>
        <v>5.290326440823704E-2</v>
      </c>
      <c r="I9" s="331">
        <f>SUM('2019 KESIS Energy Balance'!Z56:AE56)/SUM('2019 KESIS Energy Balance'!Z51:AE53,'2019 KESIS Energy Balance'!Z55:AE58,'2019 KESIS Energy Balance'!Z60:AE60,'2019 KESIS Energy Balance'!Z65:AE66)</f>
        <v>2.8583268912864821E-3</v>
      </c>
      <c r="J9" s="332">
        <f>'2019 KESIS Energy Balance'!BI56/SUM('2019 KESIS Energy Balance'!BI51:BI53,'2019 KESIS Energy Balance'!BI55:BI58,'2019 KESIS Energy Balance'!BI60,'2019 KESIS Energy Balance'!BI65:BI66)</f>
        <v>0.38832509510663149</v>
      </c>
      <c r="K9" s="326" t="s">
        <v>432</v>
      </c>
      <c r="L9" s="331">
        <f>SUM('2019 KESIS Energy Balance'!AF56:AH56)/SUM('2019 KESIS Energy Balance'!AF51:AH53,'2019 KESIS Energy Balance'!AF55:AH58,'2019 KESIS Energy Balance'!AF60:AH60,'2019 KESIS Energy Balance'!AF65:AH66)</f>
        <v>3.2802933514742234E-2</v>
      </c>
      <c r="M9" s="331">
        <f>SUM('2019 KESIS Energy Balance'!W56:Y56)/SUM('2019 KESIS Energy Balance'!W51:Y53,'2019 KESIS Energy Balance'!W55:Y58,'2019 KESIS Energy Balance'!W60:Y60,'2019 KESIS Energy Balance'!W65:Y66)</f>
        <v>4.1624129633694874E-3</v>
      </c>
      <c r="N9" s="326" t="s">
        <v>432</v>
      </c>
    </row>
    <row r="10" spans="2:14" s="325" customFormat="1" ht="29">
      <c r="B10" s="326" t="s">
        <v>8</v>
      </c>
      <c r="C10" s="329" t="str">
        <f>VLOOKUP($B10,About!$B$31:$E$55,3,0)</f>
        <v>EndUse&gt;Industry&gt;wood and wood products</v>
      </c>
      <c r="D10" s="377">
        <f>VLOOKUP($B10,About!$B$31:$E$55,4,0)</f>
        <v>0</v>
      </c>
      <c r="E10" s="331">
        <f>'2019 KESIS Energy Balance'!BH57/SUM('2019 KESIS Energy Balance'!BH51:BH53,'2019 KESIS Energy Balance'!BH55:BH58,'2019 KESIS Energy Balance'!BH60,'2019 KESIS Energy Balance'!BH65:BH66)</f>
        <v>2.4576544706291909E-2</v>
      </c>
      <c r="F10" s="380">
        <f>SUM('2019 KESIS Energy Balance'!D57:P57)/SUM('2019 KESIS Energy Balance'!D51:P53,'2019 KESIS Energy Balance'!D55:P58,'2019 KESIS Energy Balance'!D60:P60,'2019 KESIS Energy Balance'!D65:P66)</f>
        <v>0</v>
      </c>
      <c r="G10" s="379">
        <f>SUM('2019 KESIS Energy Balance'!Q57:R57)/SUM('2019 KESIS Energy Balance'!Q51:R53,'2019 KESIS Energy Balance'!Q55:R58,'2019 KESIS Energy Balance'!Q60:R60,'2019 KESIS Energy Balance'!Q65:R66)</f>
        <v>1.1373703239862556E-2</v>
      </c>
      <c r="H10" s="331">
        <f>SUM('2019 KESIS Energy Balance'!AP57:AX57)/SUM('2019 KESIS Energy Balance'!AP51:AX53,'2019 KESIS Energy Balance'!AP55:AX58,'2019 KESIS Energy Balance'!AP60:AX60,'2019 KESIS Energy Balance'!AP65:AX66)</f>
        <v>3.2626711566976753E-2</v>
      </c>
      <c r="I10" s="331">
        <f>SUM('2019 KESIS Energy Balance'!Z57:AE57)/SUM('2019 KESIS Energy Balance'!Z51:AE53,'2019 KESIS Energy Balance'!Z55:AE58,'2019 KESIS Energy Balance'!Z60:AE60,'2019 KESIS Energy Balance'!Z65:AE66)</f>
        <v>4.4746574490651351E-4</v>
      </c>
      <c r="J10" s="332">
        <f>'2019 KESIS Energy Balance'!BI57/SUM('2019 KESIS Energy Balance'!BI51:BI53,'2019 KESIS Energy Balance'!BI55:BI58,'2019 KESIS Energy Balance'!BI60,'2019 KESIS Energy Balance'!BI65:BI66)</f>
        <v>1.3415444488265709E-2</v>
      </c>
      <c r="K10" s="326" t="s">
        <v>432</v>
      </c>
      <c r="L10" s="331">
        <f>SUM('2019 KESIS Energy Balance'!AF57:AH57)/SUM('2019 KESIS Energy Balance'!AF51:AH53,'2019 KESIS Energy Balance'!AF55:AH58,'2019 KESIS Energy Balance'!AF60:AH60,'2019 KESIS Energy Balance'!AF65:AH66)</f>
        <v>2.3118573949017459E-3</v>
      </c>
      <c r="M10" s="331">
        <f>SUM('2019 KESIS Energy Balance'!W57:Y57)/SUM('2019 KESIS Energy Balance'!W51:Y53,'2019 KESIS Energy Balance'!W55:Y58,'2019 KESIS Energy Balance'!W60:Y60,'2019 KESIS Energy Balance'!W65:Y66)</f>
        <v>2.5682066671071333E-4</v>
      </c>
      <c r="N10" s="326" t="s">
        <v>432</v>
      </c>
    </row>
    <row r="11" spans="2:14" s="325" customFormat="1">
      <c r="B11" s="326" t="s">
        <v>9</v>
      </c>
      <c r="C11" s="329" t="str">
        <f>VLOOKUP($B11,About!$B$31:$E$55,3,0)</f>
        <v>EndUse&gt;Industry&gt;paper and printing</v>
      </c>
      <c r="D11" s="377">
        <f>VLOOKUP($B11,About!$B$31:$E$55,4,0)</f>
        <v>0</v>
      </c>
      <c r="E11" s="331">
        <f>'2019 KESIS Energy Balance'!BH58/SUM('2019 KESIS Energy Balance'!BH51:BH53,'2019 KESIS Energy Balance'!BH55:BH58,'2019 KESIS Energy Balance'!BH60,'2019 KESIS Energy Balance'!BH65:BH66)</f>
        <v>0.14030893713952816</v>
      </c>
      <c r="F11" s="378">
        <f>SUM('2019 KESIS Energy Balance'!D58:P58)/SUM('2019 KESIS Energy Balance'!D51:P53,'2019 KESIS Energy Balance'!D55:P58,'2019 KESIS Energy Balance'!D60:P60,'2019 KESIS Energy Balance'!D65:P66)</f>
        <v>0</v>
      </c>
      <c r="G11" s="379">
        <f>SUM('2019 KESIS Energy Balance'!Q58:R58)/SUM('2019 KESIS Energy Balance'!Q51:R53,'2019 KESIS Energy Balance'!Q55:R58,'2019 KESIS Energy Balance'!Q60:R60,'2019 KESIS Energy Balance'!Q65:R66)</f>
        <v>0.12327956941687025</v>
      </c>
      <c r="H11" s="331">
        <f>SUM('2019 KESIS Energy Balance'!AP58:AX58)/SUM('2019 KESIS Energy Balance'!AP51:AX53,'2019 KESIS Energy Balance'!AP55:AX58,'2019 KESIS Energy Balance'!AP60:AX60,'2019 KESIS Energy Balance'!AP65:AX66)</f>
        <v>0.28959638455677666</v>
      </c>
      <c r="I11" s="331">
        <f>SUM('2019 KESIS Energy Balance'!Z58:AE58)/SUM('2019 KESIS Energy Balance'!Z51:AE53,'2019 KESIS Energy Balance'!Z55:AE58,'2019 KESIS Energy Balance'!Z60:AE60,'2019 KESIS Energy Balance'!Z65:AE66)</f>
        <v>1.387846202346241E-3</v>
      </c>
      <c r="J11" s="332">
        <f>'2019 KESIS Energy Balance'!BI58/SUM('2019 KESIS Energy Balance'!BI51:BI53,'2019 KESIS Energy Balance'!BI55:BI58,'2019 KESIS Energy Balance'!BI60,'2019 KESIS Energy Balance'!BI65:BI66)</f>
        <v>0.39205263052896017</v>
      </c>
      <c r="K11" s="326" t="s">
        <v>432</v>
      </c>
      <c r="L11" s="331">
        <f>SUM('2019 KESIS Energy Balance'!AF58:AH58)/SUM('2019 KESIS Energy Balance'!AF51:AH53,'2019 KESIS Energy Balance'!AF55:AH58,'2019 KESIS Energy Balance'!AF60:AH60,'2019 KESIS Energy Balance'!AF65:AH66)</f>
        <v>3.3577239819254784E-2</v>
      </c>
      <c r="M11" s="331">
        <f>SUM('2019 KESIS Energy Balance'!W58:Y58)/SUM('2019 KESIS Energy Balance'!W51:Y53,'2019 KESIS Energy Balance'!W55:Y58,'2019 KESIS Energy Balance'!W60:Y60,'2019 KESIS Energy Balance'!W65:Y66)</f>
        <v>5.6692362941950002E-3</v>
      </c>
      <c r="N11" s="326" t="s">
        <v>432</v>
      </c>
    </row>
    <row r="12" spans="2:14" s="325" customFormat="1" ht="29">
      <c r="B12" s="385" t="s">
        <v>13</v>
      </c>
      <c r="C12" s="386" t="str">
        <f>VLOOKUP($B12,About!$B$31:$E$55,3,0)</f>
        <v>EndUse&gt;Industry&gt;non-metallic minerals</v>
      </c>
      <c r="D12" s="387" t="str">
        <f>VLOOKUP($B12,About!$B$31:$E$55,4,0)</f>
        <v>Glass and glassware manufacturing</v>
      </c>
      <c r="E12" s="388">
        <f>'2019 KESIS Energy Balance'!BH60/SUM('2019 KESIS Energy Balance'!BH51:BH53,'2019 KESIS Energy Balance'!BH55:BH58,'2019 KESIS Energy Balance'!BH60,'2019 KESIS Energy Balance'!BH65:BH66)*SUM(D42)/SUM(D42:H42)</f>
        <v>4.7190059339062639E-2</v>
      </c>
      <c r="F12" s="388">
        <f>SUM('2019 KESIS Energy Balance'!D60:P60)/SUM('2019 KESIS Energy Balance'!D51:P53,'2019 KESIS Energy Balance'!D55:P58,'2019 KESIS Energy Balance'!D60:P60,'2019 KESIS Energy Balance'!D65:P66)*SUM(D27)/SUM(D27:H27)</f>
        <v>0</v>
      </c>
      <c r="G12" s="389">
        <f>SUM('2019 KESIS Energy Balance'!Q60:R60)/SUM('2019 KESIS Energy Balance'!Q51:R53,'2019 KESIS Energy Balance'!Q55:R58,'2019 KESIS Energy Balance'!Q60:R60,'2019 KESIS Energy Balance'!Q65:R66)*SUM(D39)/SUM(D39:H39)</f>
        <v>9.8699459275715454E-2</v>
      </c>
      <c r="H12" s="388">
        <f>SUM('2019 KESIS Energy Balance'!AP60:AX60)/SUM('2019 KESIS Energy Balance'!AP51:AX53,'2019 KESIS Energy Balance'!AP55:AX58,'2019 KESIS Energy Balance'!AP60:AX60,'2019 KESIS Energy Balance'!AP65:AX66)*SUM(D40)/SUM(D40:H40)</f>
        <v>0</v>
      </c>
      <c r="I12" s="388">
        <f>SUM('2019 KESIS Energy Balance'!Z60:AE60)/SUM('2019 KESIS Energy Balance'!Z51:AE53,'2019 KESIS Energy Balance'!Z55:AE58,'2019 KESIS Energy Balance'!Z60:AE60,'2019 KESIS Energy Balance'!Z65:AE66)*SUM(D29:D31)/SUM(D29:H31)</f>
        <v>4.9108612939415528E-4</v>
      </c>
      <c r="J12" s="390">
        <f>'2019 KESIS Energy Balance'!BI60/SUM('2019 KESIS Energy Balance'!BI51:BI53,'2019 KESIS Energy Balance'!BI55:BI58,'2019 KESIS Energy Balance'!BI60,'2019 KESIS Energy Balance'!BI65:BI66)*SUM(D41)/SUM(D41:H41)</f>
        <v>2.3368782812878752E-5</v>
      </c>
      <c r="K12" s="388" t="s">
        <v>433</v>
      </c>
      <c r="L12" s="388">
        <f>SUM('2019 KESIS Energy Balance'!AF60:AH60)/SUM('2019 KESIS Energy Balance'!AF51:AH53,'2019 KESIS Energy Balance'!AF55:AH58,'2019 KESIS Energy Balance'!AF60:AH60,'2019 KESIS Energy Balance'!AF65:AH66)*SUM(D32:D34)/SUM(D32:H34)</f>
        <v>0.41954224422056896</v>
      </c>
      <c r="M12" s="388">
        <f>SUM('2019 KESIS Energy Balance'!W60:Y60)/SUM('2019 KESIS Energy Balance'!W51:Y53,'2019 KESIS Energy Balance'!W55:Y58,'2019 KESIS Energy Balance'!W60:Y60,'2019 KESIS Energy Balance'!W65:Y66)*SUM(D36:D37)/SUM(D36:H37)</f>
        <v>6.0299450468703298E-4</v>
      </c>
      <c r="N12" s="388" t="s">
        <v>433</v>
      </c>
    </row>
    <row r="13" spans="2:14" s="325" customFormat="1" ht="101.5">
      <c r="B13" s="391" t="s">
        <v>14</v>
      </c>
      <c r="C13" s="392" t="str">
        <f>VLOOKUP($B13,About!$B$31:$E$55,3,0)</f>
        <v>EndUse&gt;Industry&gt;non-metallic minerals</v>
      </c>
      <c r="D13" s="393" t="str">
        <f>VLOOKUP($B13,About!$B$31:$E$55,4,0)</f>
        <v>Refractory and non-refractory ceramic products manufacturing business, cement, lime, plaster and its products manufacturing business, cement manufacturing business, other non-metallic minerals product manufacturing business</v>
      </c>
      <c r="E13" s="394">
        <f>'2019 KESIS Energy Balance'!BH60/SUM('2019 KESIS Energy Balance'!BH51:BH53,'2019 KESIS Energy Balance'!BH55:BH58,'2019 KESIS Energy Balance'!BH60,'2019 KESIS Energy Balance'!BH65:BH66)*(1-SUM(D42)/SUM(D42:H42))</f>
        <v>0.11892728945655964</v>
      </c>
      <c r="F13" s="394">
        <f>SUM('2019 KESIS Energy Balance'!D60:P60)/SUM('2019 KESIS Energy Balance'!D51:P53,'2019 KESIS Energy Balance'!D55:P58,'2019 KESIS Energy Balance'!D60:P60,'2019 KESIS Energy Balance'!D65:P66)*(1-SUM(D27)/SUM(D27:H27))</f>
        <v>0.48002548372525877</v>
      </c>
      <c r="G13" s="395">
        <f>SUM('2019 KESIS Energy Balance'!Q60:R60)/SUM('2019 KESIS Energy Balance'!Q51:R53,'2019 KESIS Energy Balance'!Q55:R58,'2019 KESIS Energy Balance'!Q60:R60,'2019 KESIS Energy Balance'!Q65:R66)*(1-SUM(D39)/SUM(D39:H39))</f>
        <v>0.15332032085796346</v>
      </c>
      <c r="H13" s="394">
        <f>SUM('2019 KESIS Energy Balance'!AP60:AX60)/SUM('2019 KESIS Energy Balance'!AP51:AX53,'2019 KESIS Energy Balance'!AP55:AX58,'2019 KESIS Energy Balance'!AP60:AX60,'2019 KESIS Energy Balance'!AP65:AX66)*(1-SUM(D40)/SUM(D40:H40))</f>
        <v>0.33752436134552311</v>
      </c>
      <c r="I13" s="394">
        <f>SUM('2019 KESIS Energy Balance'!Z60:AE60)/SUM('2019 KESIS Energy Balance'!Z51:AE53,'2019 KESIS Energy Balance'!Z55:AE58,'2019 KESIS Energy Balance'!Z60:AE60,'2019 KESIS Energy Balance'!Z65:AE66)*(1-SUM(D29:D31)/SUM(D29:H31))</f>
        <v>5.680229563325729E-2</v>
      </c>
      <c r="J13" s="396">
        <f>'2019 KESIS Energy Balance'!BI60/SUM('2019 KESIS Energy Balance'!BI51:BI53,'2019 KESIS Energy Balance'!BI55:BI58,'2019 KESIS Energy Balance'!BI60,'2019 KESIS Energy Balance'!BI65:BI66)*(1-SUM(D41)/SUM(D41:H41))</f>
        <v>4.8918652021626174E-4</v>
      </c>
      <c r="K13" s="394" t="s">
        <v>433</v>
      </c>
      <c r="L13" s="394">
        <f>SUM('2019 KESIS Energy Balance'!AF60:AH60)/SUM('2019 KESIS Energy Balance'!AF51:AH53,'2019 KESIS Energy Balance'!AF55:AH58,'2019 KESIS Energy Balance'!AF60:AH60,'2019 KESIS Energy Balance'!AF65:AH66)*(1-SUM(D32:D34)/SUM(D32:H34))</f>
        <v>6.7098206646930614E-2</v>
      </c>
      <c r="M13" s="394">
        <f>SUM('2019 KESIS Energy Balance'!W60:Y60)/SUM('2019 KESIS Energy Balance'!W51:Y53,'2019 KESIS Energy Balance'!W55:Y58,'2019 KESIS Energy Balance'!W60:Y60,'2019 KESIS Energy Balance'!W65:Y66)*(1-SUM(D36:D37)/SUM(D36:H37))</f>
        <v>1.6682847963007914E-2</v>
      </c>
      <c r="N13" s="394" t="s">
        <v>433</v>
      </c>
    </row>
    <row r="14" spans="2:14" s="325" customFormat="1">
      <c r="B14" s="326" t="s">
        <v>23</v>
      </c>
      <c r="C14" s="329" t="str">
        <f>VLOOKUP($B14,About!$B$31:$E$55,3,0)</f>
        <v>EndUse&gt;Industry&gt;other manufacturing</v>
      </c>
      <c r="D14" s="377">
        <f>VLOOKUP($B14,About!$B$31:$E$55,4,0)</f>
        <v>0</v>
      </c>
      <c r="E14" s="378">
        <f>'2019 KESIS Energy Balance'!BH65/SUM('2019 KESIS Energy Balance'!BH51:BH53,'2019 KESIS Energy Balance'!BH55:BH58,'2019 KESIS Energy Balance'!BH60,'2019 KESIS Energy Balance'!BH65:BH66)</f>
        <v>6.1909016485137774E-2</v>
      </c>
      <c r="F14" s="378">
        <f>SUM('2019 KESIS Energy Balance'!D65:P65)/SUM('2019 KESIS Energy Balance'!D51:P53,'2019 KESIS Energy Balance'!D55:P58,'2019 KESIS Energy Balance'!D60:P60,'2019 KESIS Energy Balance'!D65:P66)</f>
        <v>0.41388732924623384</v>
      </c>
      <c r="G14" s="379">
        <f>SUM('2019 KESIS Energy Balance'!Q65:R65)/SUM('2019 KESIS Energy Balance'!Q51:R53,'2019 KESIS Energy Balance'!Q55:R58,'2019 KESIS Energy Balance'!Q60:R60,'2019 KESIS Energy Balance'!Q65:R66)</f>
        <v>0.16108323149656451</v>
      </c>
      <c r="H14" s="331">
        <f>SUM('2019 KESIS Energy Balance'!AP65:AX65)/SUM('2019 KESIS Energy Balance'!AP51:AX53,'2019 KESIS Energy Balance'!AP55:AX58,'2019 KESIS Energy Balance'!AP60:AX60,'2019 KESIS Energy Balance'!AP65:AX66)</f>
        <v>0.18176808722845453</v>
      </c>
      <c r="I14" s="331">
        <f>SUM('2019 KESIS Energy Balance'!Z65:AE65)/SUM('2019 KESIS Energy Balance'!Z51:AE53,'2019 KESIS Energy Balance'!Z55:AE58,'2019 KESIS Energy Balance'!Z60:AE60,'2019 KESIS Energy Balance'!Z65:AE66)</f>
        <v>8.3296802004051554E-2</v>
      </c>
      <c r="J14" s="332">
        <f>'2019 KESIS Energy Balance'!BI65/SUM('2019 KESIS Energy Balance'!BI51:BI53,'2019 KESIS Energy Balance'!BI55:BI58,'2019 KESIS Energy Balance'!BI60,'2019 KESIS Energy Balance'!BI65:BI66)</f>
        <v>7.5195239067149351E-5</v>
      </c>
      <c r="K14" s="326" t="s">
        <v>433</v>
      </c>
      <c r="L14" s="331">
        <f>SUM('2019 KESIS Energy Balance'!AF65:AH65)/SUM('2019 KESIS Energy Balance'!AF51:AH53,'2019 KESIS Energy Balance'!AF55:AH58,'2019 KESIS Energy Balance'!AF60:AH60,'2019 KESIS Energy Balance'!AF65:AH66)</f>
        <v>0.28629606892063542</v>
      </c>
      <c r="M14" s="331">
        <f>SUM('2019 KESIS Energy Balance'!W65:Y65)/SUM('2019 KESIS Energy Balance'!W51:Y53,'2019 KESIS Energy Balance'!W55:Y58,'2019 KESIS Energy Balance'!W60:Y60,'2019 KESIS Energy Balance'!W65:Y66)</f>
        <v>0.91695741039516276</v>
      </c>
      <c r="N14" s="326" t="s">
        <v>433</v>
      </c>
    </row>
    <row r="15" spans="2:14" s="325" customFormat="1">
      <c r="B15" s="326" t="s">
        <v>26</v>
      </c>
      <c r="C15" s="329" t="str">
        <f>VLOOKUP($B15,About!$B$31:$E$55,3,0)</f>
        <v>EndUse&gt;Industry&gt;construction</v>
      </c>
      <c r="D15" s="377">
        <f>VLOOKUP($B15,About!$B$31:$E$55,4,0)</f>
        <v>0</v>
      </c>
      <c r="E15" s="381">
        <f>SUM('2019 KESIS Energy Balance'!BH66)/SUM('2019 KESIS Energy Balance'!BH51:BH53,'2019 KESIS Energy Balance'!BH55:BH58,'2019 KESIS Energy Balance'!BH60,'2019 KESIS Energy Balance'!BH65:BH66)</f>
        <v>1.3773448843582223E-4</v>
      </c>
      <c r="F15" s="381">
        <f>SUM('2019 KESIS Energy Balance'!D66:P66)/SUM('2019 KESIS Energy Balance'!D51:P53,'2019 KESIS Energy Balance'!D55:P58,'2019 KESIS Energy Balance'!D60:P60,'2019 KESIS Energy Balance'!D65:P66)</f>
        <v>1.1729506600439339E-4</v>
      </c>
      <c r="G15" s="382">
        <f>SUM('2019 KESIS Energy Balance'!Q66:R66)/SUM('2019 KESIS Energy Balance'!Q51:R53,'2019 KESIS Energy Balance'!Q55:R58,'2019 KESIS Energy Balance'!Q60:R60,'2019 KESIS Energy Balance'!Q65:R66)</f>
        <v>5.4762274858597493E-5</v>
      </c>
      <c r="H15" s="383">
        <f>SUM('2019 KESIS Energy Balance'!AP66:AX66)/SUM('2019 KESIS Energy Balance'!AP51:AX53,'2019 KESIS Energy Balance'!AP55:AX58,'2019 KESIS Energy Balance'!AP60:AX60,'2019 KESIS Energy Balance'!AP65:AX66)</f>
        <v>1.6150021978891576E-2</v>
      </c>
      <c r="I15" s="383">
        <f>SUM('2019 KESIS Energy Balance'!Z66:AE66)/SUM('2019 KESIS Energy Balance'!Z51:AE53,'2019 KESIS Energy Balance'!Z55:AE58,'2019 KESIS Energy Balance'!Z60:AE60,'2019 KESIS Energy Balance'!Z65:AE66)</f>
        <v>0.29752546898169935</v>
      </c>
      <c r="J15" s="384">
        <f>SUM('2019 KESIS Energy Balance'!BI66)/SUM('2019 KESIS Energy Balance'!BI51:BI53,'2019 KESIS Energy Balance'!BI55:BI58,'2019 KESIS Energy Balance'!BI60,'2019 KESIS Energy Balance'!BI65:BI66)</f>
        <v>0</v>
      </c>
      <c r="K15" s="326" t="s">
        <v>433</v>
      </c>
      <c r="L15" s="383">
        <f>SUM('2019 KESIS Energy Balance'!AF66:AH66)/SUM('2019 KESIS Energy Balance'!AF51:AH53,'2019 KESIS Energy Balance'!AF55:AH58,'2019 KESIS Energy Balance'!AF60:AH60,'2019 KESIS Energy Balance'!AF65:AH66)</f>
        <v>3.4465848483004893E-2</v>
      </c>
      <c r="M15" s="383">
        <f>SUM('2019 KESIS Energy Balance'!W66:Y66)/SUM('2019 KESIS Energy Balance'!W51:Y53,'2019 KESIS Energy Balance'!W55:Y58,'2019 KESIS Energy Balance'!W60:Y60,'2019 KESIS Energy Balance'!W65:Y66)</f>
        <v>2.1470633995383622E-2</v>
      </c>
      <c r="N15" s="326" t="s">
        <v>433</v>
      </c>
    </row>
    <row r="16" spans="2:14" s="151" customFormat="1">
      <c r="B16" s="327" t="s">
        <v>429</v>
      </c>
      <c r="C16" s="327"/>
      <c r="D16" s="327"/>
      <c r="E16" s="328">
        <f>SUM(E6:E15)</f>
        <v>0.99999999999999989</v>
      </c>
      <c r="F16" s="328">
        <f t="shared" ref="F16:N16" si="0">SUM(F6:F15)</f>
        <v>1</v>
      </c>
      <c r="G16" s="328">
        <f t="shared" si="0"/>
        <v>1</v>
      </c>
      <c r="H16" s="328">
        <f t="shared" si="0"/>
        <v>0.99999999999999989</v>
      </c>
      <c r="I16" s="328">
        <f t="shared" si="0"/>
        <v>1</v>
      </c>
      <c r="J16" s="328">
        <f t="shared" si="0"/>
        <v>1</v>
      </c>
      <c r="K16" s="328">
        <f t="shared" si="0"/>
        <v>0</v>
      </c>
      <c r="L16" s="328">
        <f t="shared" si="0"/>
        <v>0.99999999999999989</v>
      </c>
      <c r="M16" s="328">
        <f t="shared" si="0"/>
        <v>1.0004241270761445</v>
      </c>
      <c r="N16" s="328">
        <f t="shared" si="0"/>
        <v>0</v>
      </c>
    </row>
    <row r="19" spans="2:9" ht="17">
      <c r="B19" s="188" t="s">
        <v>633</v>
      </c>
      <c r="C19" s="2" t="s">
        <v>449</v>
      </c>
    </row>
    <row r="20" spans="2:9" ht="17">
      <c r="B20" s="2" t="s">
        <v>450</v>
      </c>
      <c r="C20" s="2" t="s">
        <v>451</v>
      </c>
      <c r="I20" s="37"/>
    </row>
    <row r="21" spans="2:9" ht="17">
      <c r="B21" s="2" t="s">
        <v>452</v>
      </c>
      <c r="C21" s="2" t="s">
        <v>453</v>
      </c>
    </row>
    <row r="22" spans="2:9" ht="17">
      <c r="B22" s="2" t="s">
        <v>454</v>
      </c>
      <c r="C22" s="2" t="s">
        <v>455</v>
      </c>
    </row>
    <row r="23" spans="2:9" ht="17">
      <c r="B23" s="2" t="s">
        <v>457</v>
      </c>
      <c r="C23" s="2" t="s">
        <v>458</v>
      </c>
    </row>
    <row r="24" spans="2:9" s="185" customFormat="1" ht="20" customHeight="1">
      <c r="B24" s="469" t="s">
        <v>459</v>
      </c>
      <c r="C24" s="469" t="s">
        <v>460</v>
      </c>
      <c r="D24" s="466" t="s">
        <v>461</v>
      </c>
      <c r="E24" s="467"/>
      <c r="F24" s="467"/>
      <c r="G24" s="467"/>
      <c r="H24" s="468"/>
    </row>
    <row r="25" spans="2:9" s="185" customFormat="1" ht="20" customHeight="1">
      <c r="B25" s="470"/>
      <c r="C25" s="470"/>
      <c r="D25" s="318" t="s">
        <v>462</v>
      </c>
      <c r="E25" s="375" t="s">
        <v>463</v>
      </c>
      <c r="F25" s="375" t="s">
        <v>464</v>
      </c>
      <c r="G25" s="375" t="s">
        <v>465</v>
      </c>
      <c r="H25" s="375" t="s">
        <v>466</v>
      </c>
    </row>
    <row r="26" spans="2:9" s="185" customFormat="1" ht="20" customHeight="1">
      <c r="B26" s="319" t="s">
        <v>467</v>
      </c>
      <c r="C26" s="319" t="s">
        <v>468</v>
      </c>
      <c r="D26" s="186">
        <v>840.2</v>
      </c>
      <c r="E26" s="186">
        <v>241.3</v>
      </c>
      <c r="F26" s="186">
        <v>630.70000000000005</v>
      </c>
      <c r="G26" s="186">
        <v>4400.2</v>
      </c>
      <c r="H26" s="186">
        <v>265.39999999999998</v>
      </c>
    </row>
    <row r="27" spans="2:9" s="185" customFormat="1" ht="20" customHeight="1">
      <c r="B27" s="319" t="s">
        <v>469</v>
      </c>
      <c r="C27" s="319" t="s">
        <v>468</v>
      </c>
      <c r="D27" s="186">
        <v>0</v>
      </c>
      <c r="E27" s="186">
        <v>1.1000000000000001</v>
      </c>
      <c r="F27" s="186">
        <v>154.69999999999999</v>
      </c>
      <c r="G27" s="186">
        <v>2192</v>
      </c>
      <c r="H27" s="186">
        <v>2.6</v>
      </c>
    </row>
    <row r="28" spans="2:9" s="185" customFormat="1" ht="20" customHeight="1">
      <c r="B28" s="319" t="s">
        <v>475</v>
      </c>
      <c r="C28" s="319" t="s">
        <v>468</v>
      </c>
      <c r="D28" s="186">
        <v>251</v>
      </c>
      <c r="E28" s="186">
        <v>45</v>
      </c>
      <c r="F28" s="186">
        <v>101.9</v>
      </c>
      <c r="G28" s="186">
        <v>1070.7</v>
      </c>
      <c r="H28" s="186">
        <v>80</v>
      </c>
    </row>
    <row r="29" spans="2:9" s="185" customFormat="1" ht="20" customHeight="1">
      <c r="B29" s="320" t="s">
        <v>456</v>
      </c>
      <c r="C29" s="319" t="s">
        <v>58</v>
      </c>
      <c r="D29" s="186">
        <v>0</v>
      </c>
      <c r="E29" s="186">
        <v>0</v>
      </c>
      <c r="F29" s="186">
        <v>0</v>
      </c>
      <c r="G29" s="187" t="s">
        <v>39</v>
      </c>
      <c r="H29" s="186">
        <v>0</v>
      </c>
    </row>
    <row r="30" spans="2:9" s="185" customFormat="1" ht="20" customHeight="1">
      <c r="B30" s="320" t="s">
        <v>456</v>
      </c>
      <c r="C30" s="319" t="s">
        <v>476</v>
      </c>
      <c r="D30" s="186">
        <v>0.1</v>
      </c>
      <c r="E30" s="186">
        <v>0</v>
      </c>
      <c r="F30" s="186">
        <v>0.9</v>
      </c>
      <c r="G30" s="186">
        <v>0.2</v>
      </c>
      <c r="H30" s="186">
        <v>0.1</v>
      </c>
    </row>
    <row r="31" spans="2:9" s="185" customFormat="1" ht="20" customHeight="1">
      <c r="B31" s="320" t="s">
        <v>456</v>
      </c>
      <c r="C31" s="319" t="s">
        <v>59</v>
      </c>
      <c r="D31" s="186">
        <v>0.2</v>
      </c>
      <c r="E31" s="186">
        <v>0.3</v>
      </c>
      <c r="F31" s="186">
        <v>4.0999999999999996</v>
      </c>
      <c r="G31" s="186">
        <v>0.1</v>
      </c>
      <c r="H31" s="186">
        <v>29</v>
      </c>
    </row>
    <row r="32" spans="2:9" s="185" customFormat="1" ht="20" customHeight="1">
      <c r="B32" s="320" t="s">
        <v>456</v>
      </c>
      <c r="C32" s="319" t="s">
        <v>477</v>
      </c>
      <c r="D32" s="187" t="s">
        <v>39</v>
      </c>
      <c r="E32" s="187" t="s">
        <v>39</v>
      </c>
      <c r="F32" s="186">
        <v>0</v>
      </c>
      <c r="G32" s="186">
        <v>1.6</v>
      </c>
      <c r="H32" s="187" t="s">
        <v>39</v>
      </c>
    </row>
    <row r="33" spans="2:8" s="185" customFormat="1" ht="20" customHeight="1">
      <c r="B33" s="320" t="s">
        <v>456</v>
      </c>
      <c r="C33" s="319" t="s">
        <v>478</v>
      </c>
      <c r="D33" s="187" t="s">
        <v>39</v>
      </c>
      <c r="E33" s="187" t="s">
        <v>39</v>
      </c>
      <c r="F33" s="187" t="s">
        <v>39</v>
      </c>
      <c r="G33" s="187" t="s">
        <v>39</v>
      </c>
      <c r="H33" s="187" t="s">
        <v>39</v>
      </c>
    </row>
    <row r="34" spans="2:8" s="185" customFormat="1" ht="20" customHeight="1">
      <c r="B34" s="320" t="s">
        <v>456</v>
      </c>
      <c r="C34" s="319" t="s">
        <v>479</v>
      </c>
      <c r="D34" s="186">
        <v>235.1</v>
      </c>
      <c r="E34" s="186">
        <v>13.1</v>
      </c>
      <c r="F34" s="186">
        <v>11.2</v>
      </c>
      <c r="G34" s="186">
        <v>2.9</v>
      </c>
      <c r="H34" s="186">
        <v>8.8000000000000007</v>
      </c>
    </row>
    <row r="35" spans="2:8" s="185" customFormat="1" ht="20" customHeight="1">
      <c r="B35" s="320" t="s">
        <v>456</v>
      </c>
      <c r="C35" s="319" t="s">
        <v>163</v>
      </c>
      <c r="D35" s="187" t="s">
        <v>39</v>
      </c>
      <c r="E35" s="187" t="s">
        <v>39</v>
      </c>
      <c r="F35" s="187" t="s">
        <v>39</v>
      </c>
      <c r="G35" s="187" t="s">
        <v>39</v>
      </c>
      <c r="H35" s="187" t="s">
        <v>39</v>
      </c>
    </row>
    <row r="36" spans="2:8" s="185" customFormat="1" ht="20" customHeight="1">
      <c r="B36" s="320" t="s">
        <v>456</v>
      </c>
      <c r="C36" s="319" t="s">
        <v>154</v>
      </c>
      <c r="D36" s="186">
        <v>1.2</v>
      </c>
      <c r="E36" s="186">
        <v>14.4</v>
      </c>
      <c r="F36" s="186">
        <v>15.3</v>
      </c>
      <c r="G36" s="186">
        <v>2.2000000000000002</v>
      </c>
      <c r="H36" s="186">
        <v>0.5</v>
      </c>
    </row>
    <row r="37" spans="2:8" s="185" customFormat="1" ht="20" customHeight="1">
      <c r="B37" s="320" t="s">
        <v>456</v>
      </c>
      <c r="C37" s="319" t="s">
        <v>155</v>
      </c>
      <c r="D37" s="186">
        <v>0</v>
      </c>
      <c r="E37" s="186">
        <v>0</v>
      </c>
      <c r="F37" s="186">
        <v>0.8</v>
      </c>
      <c r="G37" s="187" t="s">
        <v>39</v>
      </c>
      <c r="H37" s="186">
        <v>0</v>
      </c>
    </row>
    <row r="38" spans="2:8" s="185" customFormat="1" ht="20" customHeight="1">
      <c r="B38" s="320" t="s">
        <v>456</v>
      </c>
      <c r="C38" s="319" t="s">
        <v>480</v>
      </c>
      <c r="D38" s="186">
        <v>14.5</v>
      </c>
      <c r="E38" s="186">
        <v>17.100000000000001</v>
      </c>
      <c r="F38" s="186">
        <v>69.599999999999994</v>
      </c>
      <c r="G38" s="186">
        <v>1063.7</v>
      </c>
      <c r="H38" s="186">
        <v>41.5</v>
      </c>
    </row>
    <row r="39" spans="2:8" s="185" customFormat="1" ht="20" customHeight="1">
      <c r="B39" s="319" t="s">
        <v>85</v>
      </c>
      <c r="C39" s="319" t="s">
        <v>468</v>
      </c>
      <c r="D39" s="186">
        <v>248.1</v>
      </c>
      <c r="E39" s="186">
        <v>129.69999999999999</v>
      </c>
      <c r="F39" s="186">
        <v>162.5</v>
      </c>
      <c r="G39" s="186">
        <v>24.6</v>
      </c>
      <c r="H39" s="186">
        <v>68.599999999999994</v>
      </c>
    </row>
    <row r="40" spans="2:8" s="185" customFormat="1" ht="20" customHeight="1">
      <c r="B40" s="319" t="s">
        <v>481</v>
      </c>
      <c r="C40" s="319" t="s">
        <v>468</v>
      </c>
      <c r="D40" s="187" t="s">
        <v>39</v>
      </c>
      <c r="E40" s="186">
        <v>0.1</v>
      </c>
      <c r="F40" s="186">
        <v>4.5</v>
      </c>
      <c r="G40" s="186">
        <v>612.6</v>
      </c>
      <c r="H40" s="186">
        <v>0.1</v>
      </c>
    </row>
    <row r="41" spans="2:8" s="185" customFormat="1" ht="20" customHeight="1">
      <c r="B41" s="319" t="s">
        <v>121</v>
      </c>
      <c r="C41" s="319" t="s">
        <v>468</v>
      </c>
      <c r="D41" s="186">
        <v>1.5</v>
      </c>
      <c r="E41" s="186">
        <v>2</v>
      </c>
      <c r="F41" s="186">
        <v>3.1</v>
      </c>
      <c r="G41" s="186">
        <v>26.3</v>
      </c>
      <c r="H41" s="187" t="s">
        <v>39</v>
      </c>
    </row>
    <row r="42" spans="2:8" s="185" customFormat="1" ht="20" customHeight="1">
      <c r="B42" s="321" t="s">
        <v>482</v>
      </c>
      <c r="C42" s="321" t="s">
        <v>468</v>
      </c>
      <c r="D42" s="186">
        <v>339.5</v>
      </c>
      <c r="E42" s="186">
        <v>63.5</v>
      </c>
      <c r="F42" s="186">
        <v>203.9</v>
      </c>
      <c r="G42" s="186">
        <v>474</v>
      </c>
      <c r="H42" s="186">
        <v>114.2</v>
      </c>
    </row>
    <row r="44" spans="2:8">
      <c r="B44" s="188" t="s">
        <v>630</v>
      </c>
      <c r="C44" s="374"/>
      <c r="D44" s="312"/>
    </row>
    <row r="45" spans="2:8">
      <c r="C45" s="312" t="s">
        <v>446</v>
      </c>
      <c r="D45" s="312" t="s">
        <v>447</v>
      </c>
    </row>
    <row r="46" spans="2:8">
      <c r="B46" s="176" t="s">
        <v>445</v>
      </c>
      <c r="C46" s="177">
        <f>SUM('2019 KESIS Energy Balance'!Z51:AE53,'2019 KESIS Energy Balance'!Z55:AE58,'2019 KESIS Energy Balance'!Z60:AE60,'2019 KESIS Energy Balance'!Z65:AE66)</f>
        <v>2420.297</v>
      </c>
      <c r="D46" s="178">
        <f>C46/SUM($C$46:$C$48)</f>
        <v>0.62041144123886605</v>
      </c>
    </row>
    <row r="47" spans="2:8">
      <c r="B47" s="176" t="s">
        <v>423</v>
      </c>
      <c r="C47" s="177">
        <f>SUM('2019 KESIS Energy Balance'!AF51:AH53,'2019 KESIS Energy Balance'!AF55:AH58,'2019 KESIS Energy Balance'!AF60:AH60,'2019 KESIS Energy Balance'!AF65:AH66)</f>
        <v>542.42100000000005</v>
      </c>
      <c r="D47" s="178">
        <f>C47/SUM($C$46:$C$48)</f>
        <v>0.13904252014039062</v>
      </c>
    </row>
    <row r="48" spans="2:8">
      <c r="B48" s="176" t="s">
        <v>424</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opLeftCell="A19" workbookViewId="0">
      <selection activeCell="C29" sqref="C29"/>
    </sheetView>
  </sheetViews>
  <sheetFormatPr defaultRowHeight="17"/>
  <cols>
    <col min="2" max="2" width="28.83203125" customWidth="1"/>
    <col min="3" max="6" width="12.4140625" customWidth="1"/>
    <col min="7" max="10" width="11.33203125" customWidth="1"/>
  </cols>
  <sheetData>
    <row r="2" spans="2:11" s="402" customFormat="1">
      <c r="B2" s="416" t="s">
        <v>681</v>
      </c>
    </row>
    <row r="4" spans="2:11" s="37" customFormat="1">
      <c r="B4" s="400"/>
      <c r="C4" s="404" t="s">
        <v>671</v>
      </c>
      <c r="D4" s="404" t="s">
        <v>672</v>
      </c>
      <c r="E4" s="404" t="s">
        <v>673</v>
      </c>
      <c r="F4" s="404" t="s">
        <v>674</v>
      </c>
      <c r="G4" s="404" t="s">
        <v>651</v>
      </c>
      <c r="H4" s="404" t="s">
        <v>652</v>
      </c>
      <c r="I4" s="404" t="s">
        <v>650</v>
      </c>
      <c r="J4" s="405" t="s">
        <v>444</v>
      </c>
      <c r="K4" s="407"/>
    </row>
    <row r="5" spans="2:11" s="37" customFormat="1">
      <c r="B5" s="318" t="s">
        <v>653</v>
      </c>
      <c r="C5" s="318">
        <v>20.6</v>
      </c>
      <c r="D5" s="418">
        <v>4569</v>
      </c>
      <c r="E5" s="408">
        <f>D5/$D$24</f>
        <v>0.27649016641452345</v>
      </c>
      <c r="F5" s="419">
        <f>C5*D5</f>
        <v>94121.400000000009</v>
      </c>
      <c r="G5" s="426">
        <v>0</v>
      </c>
      <c r="H5" s="426">
        <v>0</v>
      </c>
      <c r="I5" s="427">
        <v>1</v>
      </c>
      <c r="J5" s="428">
        <v>0</v>
      </c>
      <c r="K5" s="37" t="s">
        <v>675</v>
      </c>
    </row>
    <row r="6" spans="2:11" s="37" customFormat="1">
      <c r="B6" s="400" t="s">
        <v>654</v>
      </c>
      <c r="C6" s="400">
        <v>19.399999999999999</v>
      </c>
      <c r="D6" s="421"/>
      <c r="E6" s="422"/>
      <c r="F6" s="421"/>
      <c r="G6" s="429"/>
      <c r="H6" s="429"/>
      <c r="I6" s="429"/>
      <c r="J6" s="423"/>
    </row>
    <row r="7" spans="2:11" s="37" customFormat="1">
      <c r="B7" s="400" t="s">
        <v>655</v>
      </c>
      <c r="C7" s="400">
        <v>35</v>
      </c>
      <c r="D7" s="421"/>
      <c r="E7" s="422"/>
      <c r="F7" s="421"/>
      <c r="G7" s="429"/>
      <c r="H7" s="429"/>
      <c r="I7" s="429"/>
      <c r="J7" s="423"/>
    </row>
    <row r="8" spans="2:11" s="37" customFormat="1">
      <c r="B8" s="400" t="s">
        <v>656</v>
      </c>
      <c r="C8" s="400">
        <v>62.6</v>
      </c>
      <c r="D8" s="421"/>
      <c r="E8" s="422"/>
      <c r="F8" s="421"/>
      <c r="G8" s="429"/>
      <c r="H8" s="429"/>
      <c r="I8" s="429"/>
      <c r="J8" s="424"/>
    </row>
    <row r="9" spans="2:11" s="37" customFormat="1">
      <c r="B9" s="318" t="s">
        <v>657</v>
      </c>
      <c r="C9" s="318">
        <v>1.9</v>
      </c>
      <c r="D9" s="418">
        <v>6742</v>
      </c>
      <c r="E9" s="408">
        <f>D9/$D$24</f>
        <v>0.40798789712556732</v>
      </c>
      <c r="F9" s="419">
        <f>C9*D9</f>
        <v>12809.8</v>
      </c>
      <c r="G9" s="428">
        <v>0.75</v>
      </c>
      <c r="H9" s="428">
        <v>0.25</v>
      </c>
      <c r="I9" s="428">
        <v>0</v>
      </c>
      <c r="J9" s="428">
        <v>0</v>
      </c>
    </row>
    <row r="10" spans="2:11" s="37" customFormat="1">
      <c r="B10" s="400" t="s">
        <v>658</v>
      </c>
      <c r="C10" s="400">
        <v>1.7</v>
      </c>
      <c r="D10" s="421"/>
      <c r="E10" s="422"/>
      <c r="F10" s="421">
        <f>C10*E10</f>
        <v>0</v>
      </c>
      <c r="G10" s="430">
        <v>0.75</v>
      </c>
      <c r="H10" s="430">
        <v>0.25</v>
      </c>
      <c r="I10" s="431">
        <v>0</v>
      </c>
      <c r="J10" s="431">
        <v>0</v>
      </c>
    </row>
    <row r="11" spans="2:11" s="37" customFormat="1">
      <c r="B11" s="400" t="s">
        <v>659</v>
      </c>
      <c r="C11" s="400">
        <v>9.6</v>
      </c>
      <c r="D11" s="421"/>
      <c r="E11" s="422"/>
      <c r="F11" s="421">
        <f>C11*E11</f>
        <v>0</v>
      </c>
      <c r="G11" s="430">
        <v>0.75</v>
      </c>
      <c r="H11" s="430">
        <v>0.25</v>
      </c>
      <c r="I11" s="431">
        <v>0</v>
      </c>
      <c r="J11" s="431">
        <v>0</v>
      </c>
    </row>
    <row r="12" spans="2:11" s="37" customFormat="1">
      <c r="B12" s="318" t="s">
        <v>660</v>
      </c>
      <c r="C12" s="318">
        <v>9.5</v>
      </c>
      <c r="D12" s="418">
        <v>1019</v>
      </c>
      <c r="E12" s="408">
        <f>D12/$D$24</f>
        <v>6.1664145234493192E-2</v>
      </c>
      <c r="F12" s="419">
        <f>C12*D12</f>
        <v>9680.5</v>
      </c>
      <c r="G12" s="427">
        <f>G13*($C12-$C13)/($C14-$C13)+G14*($C14-$C12)/($C14-$C13)</f>
        <v>0.84124999999999994</v>
      </c>
      <c r="H12" s="427">
        <f>H13*($C12-$C13)/($C14-$C13)+H14*($C14-$C12)/($C14-$C13)</f>
        <v>0.13875000000000001</v>
      </c>
      <c r="I12" s="427">
        <f t="shared" ref="I12:J12" si="0">I13*($C12-$C13)/($C14-$C13)+I14*($C14-$C12)/($C14-$C13)</f>
        <v>1.8750000000000006E-3</v>
      </c>
      <c r="J12" s="427">
        <f t="shared" si="0"/>
        <v>1.8125000000000002E-2</v>
      </c>
    </row>
    <row r="13" spans="2:11" s="37" customFormat="1">
      <c r="B13" s="400" t="s">
        <v>661</v>
      </c>
      <c r="C13" s="400">
        <v>8.6</v>
      </c>
      <c r="D13" s="421"/>
      <c r="E13" s="422"/>
      <c r="F13" s="421">
        <f>C13*E13</f>
        <v>0</v>
      </c>
      <c r="G13" s="430">
        <v>0.76</v>
      </c>
      <c r="H13" s="430">
        <v>0.22</v>
      </c>
      <c r="I13" s="430">
        <v>0.01</v>
      </c>
      <c r="J13" s="430">
        <v>0.01</v>
      </c>
    </row>
    <row r="14" spans="2:11" s="37" customFormat="1">
      <c r="B14" s="400" t="s">
        <v>662</v>
      </c>
      <c r="C14" s="400">
        <v>13.4</v>
      </c>
      <c r="D14" s="421"/>
      <c r="E14" s="422"/>
      <c r="F14" s="421">
        <f>C14*E14</f>
        <v>0</v>
      </c>
      <c r="G14" s="430">
        <v>0.86</v>
      </c>
      <c r="H14" s="430">
        <v>0.12</v>
      </c>
      <c r="I14" s="430">
        <v>0</v>
      </c>
      <c r="J14" s="430">
        <v>0.02</v>
      </c>
    </row>
    <row r="15" spans="2:11" s="37" customFormat="1">
      <c r="B15" s="318" t="s">
        <v>663</v>
      </c>
      <c r="C15" s="318">
        <v>24.1</v>
      </c>
      <c r="D15" s="418">
        <v>2019</v>
      </c>
      <c r="E15" s="408">
        <f>D15/$D$24</f>
        <v>0.12217851739788199</v>
      </c>
      <c r="F15" s="419">
        <f>C15*D15</f>
        <v>48657.9</v>
      </c>
      <c r="G15" s="427">
        <f>G16*($C15-$C16)/($C17-$C16)+G17*($C17-$C15)/($C17-$C16)</f>
        <v>0.74681818181818216</v>
      </c>
      <c r="H15" s="427">
        <f>H16*($C15-$C16)/($C17-$C16)+H17*($C17-$C15)/($C17-$C16)</f>
        <v>0</v>
      </c>
      <c r="I15" s="427">
        <f>I16*($C15-$C16)/($C17-$C16)+I17*($C17-$C15)/($C17-$C16)</f>
        <v>0.25318181818181795</v>
      </c>
      <c r="J15" s="427">
        <f>J16*($C15-$C16)/($C17-$C16)+J17*($C17-$C15)/($C17-$C16)</f>
        <v>0</v>
      </c>
      <c r="K15" s="37" t="s">
        <v>675</v>
      </c>
    </row>
    <row r="16" spans="2:11" s="37" customFormat="1">
      <c r="B16" s="400" t="s">
        <v>664</v>
      </c>
      <c r="C16" s="400">
        <v>24.4</v>
      </c>
      <c r="D16" s="421"/>
      <c r="E16" s="422"/>
      <c r="F16" s="421">
        <f>C16*E16</f>
        <v>0</v>
      </c>
      <c r="G16" s="430">
        <f>1-I16</f>
        <v>0.43000000000000005</v>
      </c>
      <c r="H16" s="431">
        <v>0</v>
      </c>
      <c r="I16" s="430">
        <v>0.56999999999999995</v>
      </c>
      <c r="J16" s="431">
        <v>0</v>
      </c>
    </row>
    <row r="17" spans="2:37" s="37" customFormat="1">
      <c r="B17" s="400" t="s">
        <v>665</v>
      </c>
      <c r="C17" s="400">
        <v>20</v>
      </c>
      <c r="D17" s="421"/>
      <c r="E17" s="422"/>
      <c r="F17" s="421">
        <f>C17*E17</f>
        <v>0</v>
      </c>
      <c r="G17" s="430">
        <v>0.77</v>
      </c>
      <c r="H17" s="431">
        <v>0</v>
      </c>
      <c r="I17" s="430">
        <f>1-G17</f>
        <v>0.22999999999999998</v>
      </c>
      <c r="J17" s="431">
        <v>0</v>
      </c>
    </row>
    <row r="18" spans="2:37" s="37" customFormat="1">
      <c r="B18" s="318" t="s">
        <v>666</v>
      </c>
      <c r="C18" s="318">
        <v>24</v>
      </c>
      <c r="D18" s="418">
        <v>777</v>
      </c>
      <c r="E18" s="408">
        <f>D18/$D$24</f>
        <v>4.70196671709531E-2</v>
      </c>
      <c r="F18" s="419">
        <f>C18*D18</f>
        <v>18648</v>
      </c>
      <c r="G18" s="432">
        <f>G12</f>
        <v>0.84124999999999994</v>
      </c>
      <c r="H18" s="432">
        <f t="shared" ref="H18:J18" si="1">H12</f>
        <v>0.13875000000000001</v>
      </c>
      <c r="I18" s="432">
        <f t="shared" si="1"/>
        <v>1.8750000000000006E-3</v>
      </c>
      <c r="J18" s="432">
        <f t="shared" si="1"/>
        <v>1.8125000000000002E-2</v>
      </c>
      <c r="K18" s="37" t="s">
        <v>676</v>
      </c>
    </row>
    <row r="19" spans="2:37" s="37" customFormat="1">
      <c r="B19" s="400" t="s">
        <v>667</v>
      </c>
      <c r="C19" s="400">
        <v>21.6</v>
      </c>
      <c r="D19" s="421"/>
      <c r="E19" s="422"/>
      <c r="F19" s="421">
        <f>C19*E19</f>
        <v>0</v>
      </c>
      <c r="G19" s="429"/>
      <c r="H19" s="429"/>
      <c r="I19" s="429"/>
      <c r="J19" s="429"/>
    </row>
    <row r="20" spans="2:37" s="37" customFormat="1">
      <c r="B20" s="400" t="s">
        <v>668</v>
      </c>
      <c r="C20" s="400">
        <v>58.3</v>
      </c>
      <c r="D20" s="421"/>
      <c r="E20" s="422"/>
      <c r="F20" s="421">
        <f>C20*E20</f>
        <v>0</v>
      </c>
      <c r="G20" s="429"/>
      <c r="H20" s="429"/>
      <c r="I20" s="429"/>
      <c r="J20" s="429"/>
    </row>
    <row r="21" spans="2:37" s="37" customFormat="1">
      <c r="B21" s="318" t="s">
        <v>669</v>
      </c>
      <c r="C21" s="318">
        <v>11</v>
      </c>
      <c r="D21" s="418">
        <v>1399</v>
      </c>
      <c r="E21" s="408">
        <f>D21/$D$24</f>
        <v>8.4659606656580941E-2</v>
      </c>
      <c r="F21" s="419">
        <f>C21*D21</f>
        <v>15389</v>
      </c>
      <c r="G21" s="432">
        <f>G15</f>
        <v>0.74681818181818216</v>
      </c>
      <c r="H21" s="432">
        <f t="shared" ref="H21:J21" si="2">H15</f>
        <v>0</v>
      </c>
      <c r="I21" s="432">
        <f t="shared" si="2"/>
        <v>0.25318181818181795</v>
      </c>
      <c r="J21" s="432">
        <f t="shared" si="2"/>
        <v>0</v>
      </c>
      <c r="K21" s="37" t="s">
        <v>677</v>
      </c>
    </row>
    <row r="22" spans="2:37" s="37" customFormat="1">
      <c r="B22" s="400" t="s">
        <v>667</v>
      </c>
      <c r="C22" s="400">
        <v>10.6</v>
      </c>
      <c r="D22" s="421"/>
      <c r="E22" s="422"/>
      <c r="F22" s="421">
        <f>C22*E22</f>
        <v>0</v>
      </c>
      <c r="G22" s="429"/>
      <c r="H22" s="429"/>
      <c r="I22" s="429"/>
      <c r="J22" s="429"/>
    </row>
    <row r="23" spans="2:37" s="37" customFormat="1">
      <c r="B23" s="400" t="s">
        <v>668</v>
      </c>
      <c r="C23" s="400">
        <v>16</v>
      </c>
      <c r="D23" s="421"/>
      <c r="E23" s="422"/>
      <c r="F23" s="421">
        <f>C23*E23</f>
        <v>0</v>
      </c>
      <c r="G23" s="429"/>
      <c r="H23" s="429"/>
      <c r="I23" s="429"/>
      <c r="J23" s="429"/>
    </row>
    <row r="24" spans="2:37" s="403" customFormat="1">
      <c r="B24" s="406" t="s">
        <v>670</v>
      </c>
      <c r="C24" s="425"/>
      <c r="D24" s="433">
        <f>SUM(D5,D9,D12,D15,D18,D21)</f>
        <v>16525</v>
      </c>
      <c r="E24" s="425"/>
      <c r="F24" s="425"/>
      <c r="G24" s="409">
        <f>($F$5*G5+$F$9*G9+$F$12*G12+$F$15*G15+$F$18*G18+$F$21*G21)/SUM($F$5,$F$9,$F$12,$F$15,$F$18,$F$21)</f>
        <v>0.40776416854279252</v>
      </c>
      <c r="H24" s="409">
        <f t="shared" ref="H24:J24" si="3">($F$5*H5+$F$9*H9+$F$12*H12+$F$15*H15+$F$18*H18+$F$21*H21)/SUM($F$5,$F$9,$F$12,$F$15,$F$18,$F$21)</f>
        <v>3.5789228128922976E-2</v>
      </c>
      <c r="I24" s="409">
        <f t="shared" si="3"/>
        <v>0.55387040132343379</v>
      </c>
      <c r="J24" s="409">
        <f t="shared" si="3"/>
        <v>2.5762020048508182E-3</v>
      </c>
    </row>
    <row r="25" spans="2:37" s="37" customFormat="1"/>
    <row r="26" spans="2:37" s="402" customFormat="1" ht="14.5">
      <c r="B26" s="416" t="s">
        <v>682</v>
      </c>
    </row>
    <row r="27" spans="2:37" s="37" customFormat="1"/>
    <row r="28" spans="2:37" s="37" customFormat="1">
      <c r="B28" s="400" t="s">
        <v>680</v>
      </c>
      <c r="C28" s="40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00" t="s">
        <v>29</v>
      </c>
      <c r="C29" s="441">
        <f>C28*About!$C$70/1000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02" customFormat="1">
      <c r="B31" s="416" t="s">
        <v>683</v>
      </c>
    </row>
    <row r="32" spans="2:37" s="435" customFormat="1">
      <c r="B32" s="434"/>
    </row>
    <row r="33" spans="2:37" s="37" customFormat="1">
      <c r="C33" s="404" t="s">
        <v>651</v>
      </c>
      <c r="D33" s="404" t="s">
        <v>652</v>
      </c>
      <c r="E33" s="404" t="s">
        <v>650</v>
      </c>
      <c r="F33" s="405" t="s">
        <v>444</v>
      </c>
    </row>
    <row r="34" spans="2:37" s="37" customFormat="1">
      <c r="C34" s="420">
        <f>$C$29*G24</f>
        <v>4045876208827.2358</v>
      </c>
      <c r="D34" s="420">
        <f>$C$29*H24</f>
        <v>355104243554.70099</v>
      </c>
      <c r="E34" s="420">
        <f>$C$29*I24</f>
        <v>5495556628960.9014</v>
      </c>
      <c r="F34" s="42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02" customFormat="1">
      <c r="B36" s="416" t="s">
        <v>684</v>
      </c>
    </row>
    <row r="37" spans="2:37" s="37" customFormat="1"/>
    <row r="38" spans="2:37" s="410" customFormat="1">
      <c r="B38" s="411"/>
      <c r="C38" s="412">
        <v>2018</v>
      </c>
      <c r="D38" s="412">
        <v>2019</v>
      </c>
      <c r="E38" s="412">
        <v>2020</v>
      </c>
      <c r="F38" s="412">
        <v>2021</v>
      </c>
      <c r="G38" s="412">
        <v>2022</v>
      </c>
      <c r="H38" s="412">
        <v>2023</v>
      </c>
      <c r="I38" s="412">
        <v>2024</v>
      </c>
      <c r="J38" s="412">
        <v>2025</v>
      </c>
      <c r="K38" s="412">
        <v>2026</v>
      </c>
      <c r="L38" s="412">
        <v>2027</v>
      </c>
      <c r="M38" s="412">
        <v>2028</v>
      </c>
      <c r="N38" s="412">
        <v>2029</v>
      </c>
      <c r="O38" s="412">
        <v>2030</v>
      </c>
      <c r="P38" s="412">
        <v>2031</v>
      </c>
      <c r="Q38" s="412">
        <v>2032</v>
      </c>
      <c r="R38" s="412">
        <v>2033</v>
      </c>
      <c r="S38" s="412">
        <v>2034</v>
      </c>
      <c r="T38" s="412">
        <v>2035</v>
      </c>
      <c r="U38" s="412">
        <v>2036</v>
      </c>
      <c r="V38" s="412">
        <v>2037</v>
      </c>
      <c r="W38" s="412">
        <v>2038</v>
      </c>
      <c r="X38" s="412">
        <v>2039</v>
      </c>
      <c r="Y38" s="412">
        <v>2040</v>
      </c>
      <c r="Z38" s="412">
        <v>2041</v>
      </c>
      <c r="AA38" s="412">
        <v>2042</v>
      </c>
      <c r="AB38" s="412">
        <v>2043</v>
      </c>
      <c r="AC38" s="412">
        <v>2044</v>
      </c>
      <c r="AD38" s="412">
        <v>2045</v>
      </c>
      <c r="AE38" s="412">
        <v>2046</v>
      </c>
      <c r="AF38" s="412">
        <v>2047</v>
      </c>
      <c r="AG38" s="412">
        <v>2048</v>
      </c>
      <c r="AH38" s="412">
        <v>2049</v>
      </c>
      <c r="AI38" s="412">
        <v>2050</v>
      </c>
    </row>
    <row r="39" spans="2:37" s="410" customFormat="1">
      <c r="B39" s="413" t="s">
        <v>678</v>
      </c>
      <c r="C39" s="415">
        <v>51607</v>
      </c>
      <c r="D39" s="415">
        <v>51658.606999999996</v>
      </c>
      <c r="E39" s="415">
        <v>51710.265606999994</v>
      </c>
      <c r="F39" s="415">
        <v>51761.975872606985</v>
      </c>
      <c r="G39" s="415">
        <v>51813.737848479584</v>
      </c>
      <c r="H39" s="415">
        <v>51865.55158632806</v>
      </c>
      <c r="I39" s="415">
        <v>51917.417137914381</v>
      </c>
      <c r="J39" s="415">
        <v>51969.334555052286</v>
      </c>
      <c r="K39" s="415">
        <v>52021.303889607334</v>
      </c>
      <c r="L39" s="415">
        <v>52073.325193496938</v>
      </c>
      <c r="M39" s="415">
        <v>52125.398518690432</v>
      </c>
      <c r="N39" s="415">
        <v>52177.523917209117</v>
      </c>
      <c r="O39" s="415">
        <v>52229.701441126323</v>
      </c>
      <c r="P39" s="415">
        <v>52281.931142567446</v>
      </c>
      <c r="Q39" s="415">
        <v>52334.213073710009</v>
      </c>
      <c r="R39" s="415">
        <v>52386.547286783716</v>
      </c>
      <c r="S39" s="415">
        <v>52438.933834070493</v>
      </c>
      <c r="T39" s="415">
        <v>52491.372767904555</v>
      </c>
      <c r="U39" s="415">
        <v>52543.864140672456</v>
      </c>
      <c r="V39" s="415">
        <v>52596.408004813122</v>
      </c>
      <c r="W39" s="415">
        <v>52649.004412817929</v>
      </c>
      <c r="X39" s="415">
        <v>52701.653417230744</v>
      </c>
      <c r="Y39" s="415">
        <v>52754.355070647965</v>
      </c>
      <c r="Z39" s="414">
        <v>52490.583295294724</v>
      </c>
      <c r="AA39" s="414">
        <v>52228.130378818249</v>
      </c>
      <c r="AB39" s="414">
        <v>51966.989726924156</v>
      </c>
      <c r="AC39" s="414">
        <v>51707.154778289536</v>
      </c>
      <c r="AD39" s="414">
        <v>51448.61900439809</v>
      </c>
      <c r="AE39" s="414">
        <v>51191.375909376096</v>
      </c>
      <c r="AF39" s="414">
        <v>50935.419029829216</v>
      </c>
      <c r="AG39" s="414">
        <v>50680.741934680067</v>
      </c>
      <c r="AH39" s="414">
        <v>50427.338225006664</v>
      </c>
      <c r="AI39" s="414">
        <v>50175.201533881627</v>
      </c>
    </row>
    <row r="40" spans="2:37" s="37" customFormat="1">
      <c r="B40" s="37" t="s">
        <v>679</v>
      </c>
      <c r="D40" s="417">
        <f>D39/C39-1</f>
        <v>9.9999999999988987E-4</v>
      </c>
      <c r="E40" s="417">
        <f t="shared" ref="E40:AI40" si="4">E39/D39-1</f>
        <v>9.9999999999988987E-4</v>
      </c>
      <c r="F40" s="417">
        <f t="shared" si="4"/>
        <v>9.9999999999988987E-4</v>
      </c>
      <c r="G40" s="417">
        <f t="shared" si="4"/>
        <v>9.9999999999988987E-4</v>
      </c>
      <c r="H40" s="417">
        <f t="shared" si="4"/>
        <v>9.9999999999988987E-4</v>
      </c>
      <c r="I40" s="417">
        <f t="shared" si="4"/>
        <v>9.9999999999988987E-4</v>
      </c>
      <c r="J40" s="417">
        <f t="shared" si="4"/>
        <v>9.9999999999988987E-4</v>
      </c>
      <c r="K40" s="417">
        <f t="shared" si="4"/>
        <v>9.9999999999988987E-4</v>
      </c>
      <c r="L40" s="417">
        <f t="shared" si="4"/>
        <v>9.9999999999988987E-4</v>
      </c>
      <c r="M40" s="417">
        <f t="shared" si="4"/>
        <v>9.9999999999988987E-4</v>
      </c>
      <c r="N40" s="417">
        <f t="shared" si="4"/>
        <v>9.9999999999988987E-4</v>
      </c>
      <c r="O40" s="417">
        <f t="shared" si="4"/>
        <v>9.9999999999988987E-4</v>
      </c>
      <c r="P40" s="417">
        <f t="shared" si="4"/>
        <v>9.9999999999988987E-4</v>
      </c>
      <c r="Q40" s="417">
        <f t="shared" si="4"/>
        <v>9.9999999999988987E-4</v>
      </c>
      <c r="R40" s="417">
        <f t="shared" si="4"/>
        <v>9.9999999999988987E-4</v>
      </c>
      <c r="S40" s="417">
        <f t="shared" si="4"/>
        <v>9.9999999999988987E-4</v>
      </c>
      <c r="T40" s="417">
        <f t="shared" si="4"/>
        <v>9.9999999999988987E-4</v>
      </c>
      <c r="U40" s="417">
        <f t="shared" si="4"/>
        <v>9.9999999999988987E-4</v>
      </c>
      <c r="V40" s="417">
        <f t="shared" si="4"/>
        <v>9.9999999999988987E-4</v>
      </c>
      <c r="W40" s="417">
        <f t="shared" si="4"/>
        <v>9.9999999999988987E-4</v>
      </c>
      <c r="X40" s="417">
        <f t="shared" si="4"/>
        <v>9.9999999999988987E-4</v>
      </c>
      <c r="Y40" s="417">
        <f t="shared" si="4"/>
        <v>9.9999999999988987E-4</v>
      </c>
      <c r="Z40" s="417">
        <f t="shared" si="4"/>
        <v>-5.0000000000000044E-3</v>
      </c>
      <c r="AA40" s="417">
        <f t="shared" si="4"/>
        <v>-5.0000000000000044E-3</v>
      </c>
      <c r="AB40" s="417">
        <f t="shared" si="4"/>
        <v>-5.0000000000000044E-3</v>
      </c>
      <c r="AC40" s="417">
        <f t="shared" si="4"/>
        <v>-5.0000000000000044E-3</v>
      </c>
      <c r="AD40" s="417">
        <f t="shared" si="4"/>
        <v>-5.0000000000000044E-3</v>
      </c>
      <c r="AE40" s="417">
        <f t="shared" si="4"/>
        <v>-5.0000000000000044E-3</v>
      </c>
      <c r="AF40" s="417">
        <f t="shared" si="4"/>
        <v>-5.0000000000000044E-3</v>
      </c>
      <c r="AG40" s="417">
        <f t="shared" si="4"/>
        <v>-5.0000000000000044E-3</v>
      </c>
      <c r="AH40" s="417">
        <f t="shared" si="4"/>
        <v>-5.0000000000000044E-3</v>
      </c>
      <c r="AI40" s="417">
        <f t="shared" si="4"/>
        <v>-5.0000000000001155E-3</v>
      </c>
    </row>
    <row r="41" spans="2:37" s="37" customFormat="1"/>
  </sheetData>
  <phoneticPr fontId="3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tabSelected="1" zoomScale="55" zoomScaleNormal="55" workbookViewId="0">
      <selection activeCell="C2" sqref="C2"/>
    </sheetView>
  </sheetViews>
  <sheetFormatPr defaultRowHeight="17"/>
  <cols>
    <col min="1" max="1" width="39.9140625" style="14" customWidth="1"/>
    <col min="2" max="2" width="17.9140625" style="36" customWidth="1"/>
    <col min="3" max="3" width="9.58203125" customWidth="1"/>
    <col min="4" max="35" width="9.5820312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54056671663803.742</v>
      </c>
      <c r="C2" s="20">
        <f>'KEEI BAU - Industry'!S39*'Others Split'!$E$6</f>
        <v>56043161122822.438</v>
      </c>
      <c r="D2" s="20">
        <f>'KEEI BAU - Industry'!T39*'Others Split'!$E$6</f>
        <v>58029650581841.125</v>
      </c>
      <c r="E2" s="20">
        <f>'KEEI BAU - Industry'!U39*'Others Split'!$E$6</f>
        <v>60016140040859.813</v>
      </c>
      <c r="F2" s="20">
        <f>'KEEI BAU - Industry'!V39*'Others Split'!$E$6</f>
        <v>62002629499878.508</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4662339393723.8271</v>
      </c>
      <c r="C5" s="20">
        <f>'KEEI BAU - Industry'!S$39*'Others Split'!$E$7</f>
        <v>4833672325902.8828</v>
      </c>
      <c r="D5" s="20">
        <f>'KEEI BAU - Industry'!T$39*'Others Split'!$E$7</f>
        <v>5005005258081.9385</v>
      </c>
      <c r="E5" s="20">
        <f>'KEEI BAU - Industry'!U$39*'Others Split'!$E$7</f>
        <v>5176338190260.9941</v>
      </c>
      <c r="F5" s="20">
        <f>'KEEI BAU - Industry'!V$39*'Others Split'!$E$7</f>
        <v>5347671122440.0508</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42826280355774.883</v>
      </c>
      <c r="C6" s="20">
        <f>'KEEI BAU - Industry'!S$39*'Others Split'!$E$8</f>
        <v>44400072301842.688</v>
      </c>
      <c r="D6" s="20">
        <f>'KEEI BAU - Industry'!T$39*'Others Split'!$E$8</f>
        <v>45973864247910.492</v>
      </c>
      <c r="E6" s="20">
        <f>'KEEI BAU - Industry'!U$39*'Others Split'!$E$8</f>
        <v>47547656193978.297</v>
      </c>
      <c r="F6" s="20">
        <f>'KEEI BAU - Industry'!V$39*'Others Split'!$E$8</f>
        <v>49121448140046.102</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32269617358653.113</v>
      </c>
      <c r="C7" s="20">
        <f>'KEEI BAU - Industry'!S$39*'Others Split'!$E$9</f>
        <v>33455470145302.844</v>
      </c>
      <c r="D7" s="20">
        <f>'KEEI BAU - Industry'!T$39*'Others Split'!$E$9</f>
        <v>34641322931952.57</v>
      </c>
      <c r="E7" s="20">
        <f>'KEEI BAU - Industry'!U$39*'Others Split'!$E$9</f>
        <v>35827175718602.297</v>
      </c>
      <c r="F7" s="20">
        <f>'KEEI BAU - Industry'!V$39*'Others Split'!$E$9</f>
        <v>37013028505252.023</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5418413083152.9258</v>
      </c>
      <c r="C8" s="20">
        <f>'KEEI BAU - Industry'!S$39*'Others Split'!$E$10</f>
        <v>5617530419514.9346</v>
      </c>
      <c r="D8" s="20">
        <f>'KEEI BAU - Industry'!T$39*'Others Split'!$E$10</f>
        <v>5816647755876.9424</v>
      </c>
      <c r="E8" s="20">
        <f>'KEEI BAU - Industry'!U$39*'Others Split'!$E$10</f>
        <v>6015765092238.9502</v>
      </c>
      <c r="F8" s="20">
        <f>'KEEI BAU - Industry'!V$39*'Others Split'!$E$10</f>
        <v>6214882428600.959</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30934038521919.098</v>
      </c>
      <c r="C9" s="20">
        <f>'KEEI BAU - Industry'!S$39*'Others Split'!$E$11</f>
        <v>32070811089620.813</v>
      </c>
      <c r="D9" s="20">
        <f>'KEEI BAU - Industry'!T$39*'Others Split'!$E$11</f>
        <v>33207583657322.52</v>
      </c>
      <c r="E9" s="20">
        <f>'KEEI BAU - Industry'!U$39*'Others Split'!$E$11</f>
        <v>34344356225024.227</v>
      </c>
      <c r="F9" s="20">
        <f>'KEEI BAU - Industry'!V$39*'Others Split'!$E$11</f>
        <v>35481128792725.938</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649</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111993664482627.61</v>
      </c>
      <c r="C11" s="20">
        <f>'KEEI BAU - Industry'!S$11*'Petrochemicals Split'!$E$6</f>
        <v>118639897908122.36</v>
      </c>
      <c r="D11" s="20">
        <f>'KEEI BAU - Industry'!T$11*'Petrochemicals Split'!$E$6</f>
        <v>125286131333617.13</v>
      </c>
      <c r="E11" s="20">
        <f>'KEEI BAU - Industry'!U$11*'Petrochemicals Split'!$E$6</f>
        <v>131932364759111.89</v>
      </c>
      <c r="F11" s="20">
        <f>'KEEI BAU - Industry'!V$11*'Petrochemicals Split'!$E$6</f>
        <v>138578598184606.66</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90858102826993.719</v>
      </c>
      <c r="C12" s="20">
        <f>'KEEI BAU - Industry'!S$11*'Petrochemicals Split'!$E$7</f>
        <v>96250052119620.688</v>
      </c>
      <c r="D12" s="20">
        <f>'KEEI BAU - Industry'!T$11*'Petrochemicals Split'!$E$7</f>
        <v>101642001412247.66</v>
      </c>
      <c r="E12" s="20">
        <f>'KEEI BAU - Industry'!U$11*'Petrochemicals Split'!$E$7</f>
        <v>107033950704874.63</v>
      </c>
      <c r="F12" s="20">
        <f>'KEEI BAU - Industry'!V$11*'Petrochemicals Split'!$E$7</f>
        <v>112425899997501.61</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10404035147059.492</v>
      </c>
      <c r="C13" s="20">
        <f>'KEEI BAU - Industry'!S$39*'Others Split'!$E$12</f>
        <v>10786365496205.508</v>
      </c>
      <c r="D13" s="20">
        <f>'KEEI BAU - Industry'!T$39*'Others Split'!$E$12</f>
        <v>11168695845351.523</v>
      </c>
      <c r="E13" s="20">
        <f>'KEEI BAU - Industry'!U$39*'Others Split'!$E$12</f>
        <v>11551026194497.539</v>
      </c>
      <c r="F13" s="20">
        <f>'KEEI BAU - Industry'!V$39*'Others Split'!$E$12</f>
        <v>11933356543643.557</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26220007280777.914</v>
      </c>
      <c r="C14" s="20">
        <f>'KEEI BAU - Industry'!S$39*'Others Split'!$E$13</f>
        <v>27183547330054.297</v>
      </c>
      <c r="D14" s="20">
        <f>'KEEI BAU - Industry'!T$39*'Others Split'!$E$13</f>
        <v>28147087379330.68</v>
      </c>
      <c r="E14" s="20">
        <f>'KEEI BAU - Industry'!U$39*'Others Split'!$E$13</f>
        <v>29110627428607.059</v>
      </c>
      <c r="F14" s="20">
        <f>'KEEI BAU - Industry'!V$39*'Others Split'!$E$13</f>
        <v>30074167477883.441</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113453815414940.44</v>
      </c>
      <c r="C15" s="20">
        <f>'KEEI BAU - Industry'!S25</f>
        <v>111582803194702.36</v>
      </c>
      <c r="D15" s="20">
        <f>'KEEI BAU - Industry'!T25</f>
        <v>109711790974464.27</v>
      </c>
      <c r="E15" s="20">
        <f>'KEEI BAU - Industry'!U25</f>
        <v>107840778754226.19</v>
      </c>
      <c r="F15" s="20">
        <f>'KEEI BAU - Industry'!V25</f>
        <v>105969766533988.09</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13385046457348.111</v>
      </c>
      <c r="C16" s="20">
        <f>'KEEI BAU - Industry'!S$18*'Non-ferrous Metals Split'!$E$6</f>
        <v>13813226839212.182</v>
      </c>
      <c r="D16" s="20">
        <f>'KEEI BAU - Industry'!T$18*'Non-ferrous Metals Split'!$E$6</f>
        <v>14241407221076.248</v>
      </c>
      <c r="E16" s="20">
        <f>'KEEI BAU - Industry'!U$18*'Non-ferrous Metals Split'!$E$6</f>
        <v>14669587602940.316</v>
      </c>
      <c r="F16" s="20">
        <f>'KEEI BAU - Industry'!V$18*'Non-ferrous Metals Split'!$E$6</f>
        <v>15097767984804.383</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26170858905322.965</v>
      </c>
      <c r="C17" s="20">
        <f>'KEEI BAU - Industry'!S$18*'Non-ferrous Metals Split'!$E$7</f>
        <v>27008050497858.688</v>
      </c>
      <c r="D17" s="20">
        <f>'KEEI BAU - Industry'!T$18*'Non-ferrous Metals Split'!$E$7</f>
        <v>27845242090394.402</v>
      </c>
      <c r="E17" s="20">
        <f>'KEEI BAU - Industry'!U$18*'Non-ferrous Metals Split'!$E$7</f>
        <v>28682433682930.121</v>
      </c>
      <c r="F17" s="20">
        <f>'KEEI BAU - Industry'!V$18*'Non-ferrous Metals Split'!$E$7</f>
        <v>29519625275465.836</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192637186829205.59</v>
      </c>
      <c r="C18" s="20">
        <f>'KEEI BAU - Industry'!S$32*'Machinery Split'!$E6</f>
        <v>201398099681835.91</v>
      </c>
      <c r="D18" s="20">
        <f>'KEEI BAU - Industry'!T$32*'Machinery Split'!$E6</f>
        <v>210159012534466.25</v>
      </c>
      <c r="E18" s="20">
        <f>'KEEI BAU - Industry'!U$32*'Machinery Split'!$E6</f>
        <v>218919925387096.59</v>
      </c>
      <c r="F18" s="20">
        <f>'KEEI BAU - Industry'!V$32*'Machinery Split'!$E6</f>
        <v>227680838239726.91</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33545824591684.805</v>
      </c>
      <c r="C19" s="20">
        <f>'KEEI BAU - Industry'!S$32*'Machinery Split'!$E7</f>
        <v>35071449268076.813</v>
      </c>
      <c r="D19" s="20">
        <f>'KEEI BAU - Industry'!T$32*'Machinery Split'!$E7</f>
        <v>36597073944468.82</v>
      </c>
      <c r="E19" s="20">
        <f>'KEEI BAU - Industry'!U$32*'Machinery Split'!$E7</f>
        <v>38122698620860.836</v>
      </c>
      <c r="F19" s="20">
        <f>'KEEI BAU - Industry'!V$32*'Machinery Split'!$E7</f>
        <v>39648323297252.844</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52369204288318.344</v>
      </c>
      <c r="C20" s="20">
        <f>'KEEI BAU - Industry'!S$32*'Machinery Split'!$E8</f>
        <v>54750894150402.602</v>
      </c>
      <c r="D20" s="20">
        <f>'KEEI BAU - Industry'!T$32*'Machinery Split'!$E8</f>
        <v>57132584012486.867</v>
      </c>
      <c r="E20" s="20">
        <f>'KEEI BAU - Industry'!U$32*'Machinery Split'!$E8</f>
        <v>59514273874571.141</v>
      </c>
      <c r="F20" s="20">
        <f>'KEEI BAU - Industry'!V$32*'Machinery Split'!$E8</f>
        <v>61895963736655.398</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54677648064913.984</v>
      </c>
      <c r="C21" s="20">
        <f>'KEEI BAU - Industry'!S$32*'Machinery Split'!$E9</f>
        <v>57164323236869.289</v>
      </c>
      <c r="D21" s="20">
        <f>'KEEI BAU - Industry'!T$32*'Machinery Split'!$E9</f>
        <v>59650998408824.609</v>
      </c>
      <c r="E21" s="20">
        <f>'KEEI BAU - Industry'!U$32*'Machinery Split'!$E9</f>
        <v>62137673580779.922</v>
      </c>
      <c r="F21" s="20">
        <f>'KEEI BAU - Industry'!V$32*'Machinery Split'!$E9</f>
        <v>64624348752735.234</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14001890190217.949</v>
      </c>
      <c r="C22" s="20">
        <f>'KEEI BAU - Industry'!S$32*'Machinery Split'!$E10</f>
        <v>14638679699801.885</v>
      </c>
      <c r="D22" s="20">
        <f>'KEEI BAU - Industry'!T$32*'Machinery Split'!$E10</f>
        <v>15275469209385.82</v>
      </c>
      <c r="E22" s="20">
        <f>'KEEI BAU - Industry'!U$32*'Machinery Split'!$E10</f>
        <v>15912258718969.758</v>
      </c>
      <c r="F22" s="20">
        <f>'KEEI BAU - Industry'!V$32*'Machinery Split'!$E10</f>
        <v>16549048228553.693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13649136967668.264</v>
      </c>
      <c r="C23" s="20">
        <f>'KEEI BAU - Industry'!S$39*'Others Split'!$E$14</f>
        <v>14150719212309.693</v>
      </c>
      <c r="D23" s="20">
        <f>'KEEI BAU - Industry'!T$39*'Others Split'!$E$14</f>
        <v>14652301456951.119</v>
      </c>
      <c r="E23" s="20">
        <f>'KEEI BAU - Industry'!U$39*'Others Split'!$E$14</f>
        <v>15153883701592.547</v>
      </c>
      <c r="F23" s="20">
        <f>'KEEI BAU - Industry'!V$39*'Others Split'!$E$14</f>
        <v>15655465946233.975</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30366447483.196106</v>
      </c>
      <c r="C26" s="20">
        <f>'KEEI BAU - Industry'!S$39*'Others Split'!$E$15</f>
        <v>31482362059.076401</v>
      </c>
      <c r="D26" s="20">
        <f>'KEEI BAU - Industry'!T$39*'Others Split'!$E$15</f>
        <v>32598276634.956688</v>
      </c>
      <c r="E26" s="20">
        <f>'KEEI BAU - Industry'!U$39*'Others Split'!$E$15</f>
        <v>33714191210.836979</v>
      </c>
      <c r="F26" s="20">
        <f>'KEEI BAU - Industry'!V$39*'Others Split'!$E$15</f>
        <v>34830105786.71727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5" type="noConversion"/>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85" zoomScaleNormal="85" workbookViewId="0">
      <selection activeCell="B23" sqref="B23"/>
    </sheetView>
  </sheetViews>
  <sheetFormatPr defaultColWidth="9.08203125" defaultRowHeight="17"/>
  <cols>
    <col min="1" max="1" width="39.9140625" style="4" customWidth="1"/>
    <col min="2" max="33" width="11"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1687930488318.3699</v>
      </c>
      <c r="C2" s="20">
        <f>'KEEI BAU - Industry'!S36*'Others Split'!$F$6</f>
        <v>1850522437451.0378</v>
      </c>
      <c r="D2" s="20">
        <f>'KEEI BAU - Industry'!T36*'Others Split'!$F$6</f>
        <v>2013114386583.7058</v>
      </c>
      <c r="E2" s="20">
        <f>'KEEI BAU - Industry'!U36*'Others Split'!$F$6</f>
        <v>2175706335716.3735</v>
      </c>
      <c r="F2" s="20">
        <f>'KEEI BAU - Industry'!V36*'Others Split'!$F$6</f>
        <v>2338298284849.0415</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14218277189562.152</v>
      </c>
      <c r="C7" s="20">
        <f>'KEEI BAU - Industry'!S$36*'Others Split'!$F$9</f>
        <v>15587869964595.568</v>
      </c>
      <c r="D7" s="20">
        <f>'KEEI BAU - Industry'!T$36*'Others Split'!$F$9</f>
        <v>16957462739628.982</v>
      </c>
      <c r="E7" s="20">
        <f>'KEEI BAU - Industry'!U$36*'Others Split'!$F$9</f>
        <v>18327055514662.395</v>
      </c>
      <c r="F7" s="20">
        <f>'KEEI BAU - Industry'!V$36*'Others Split'!$F$9</f>
        <v>19696648289695.809</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3639376630348.9731</v>
      </c>
      <c r="C11" s="20">
        <f>'KEEI BAU - Industry'!S$8*'Petrochemicals Split'!$F$6</f>
        <v>3827949444654.7417</v>
      </c>
      <c r="D11" s="20">
        <f>'KEEI BAU - Industry'!T$8*'Petrochemicals Split'!$F$6</f>
        <v>4016522258960.5117</v>
      </c>
      <c r="E11" s="20">
        <f>'KEEI BAU - Industry'!U$8*'Petrochemicals Split'!$F$6</f>
        <v>4205095073266.2803</v>
      </c>
      <c r="F11" s="20">
        <f>'KEEI BAU - Industry'!V$8*'Petrochemicals Split'!$F$6</f>
        <v>4393667887572.0488</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4" t="s">
        <v>12</v>
      </c>
      <c r="B12" s="20">
        <f>'KEEI BAU - Industry'!R$8*'Petrochemicals Split'!$F$7</f>
        <v>4549770542714.2158</v>
      </c>
      <c r="C12" s="20">
        <f>'KEEI BAU - Industry'!S$8*'Petrochemicals Split'!$F$7</f>
        <v>4785515045915.8086</v>
      </c>
      <c r="D12" s="20">
        <f>'KEEI BAU - Industry'!T$8*'Petrochemicals Split'!$F$7</f>
        <v>5021259549117.4023</v>
      </c>
      <c r="E12" s="20">
        <f>'KEEI BAU - Industry'!U$8*'Petrochemicals Split'!$F$7</f>
        <v>5257004052318.9951</v>
      </c>
      <c r="F12" s="20">
        <f>'KEEI BAU - Industry'!V$8*'Petrochemicals Split'!$F$7</f>
        <v>5492748555520.5879</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72052399916674.188</v>
      </c>
      <c r="C14" s="20">
        <f>'KEEI BAU - Industry'!S$36*'Others Split'!$F$13</f>
        <v>78992934626613.547</v>
      </c>
      <c r="D14" s="20">
        <f>'KEEI BAU - Industry'!T$36*'Others Split'!$F$13</f>
        <v>85933469336552.906</v>
      </c>
      <c r="E14" s="20">
        <f>'KEEI BAU - Industry'!U$36*'Others Split'!$F$13</f>
        <v>92874004046492.266</v>
      </c>
      <c r="F14" s="20">
        <f>'KEEI BAU - Industry'!V$36*'Others Split'!$F$13</f>
        <v>99814538756431.609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4" t="s">
        <v>15</v>
      </c>
      <c r="B15" s="4">
        <f>'KEEI BAU - Industry'!R22</f>
        <v>955882391300331</v>
      </c>
      <c r="C15" s="37">
        <f>'KEEI BAU - Industry'!S22</f>
        <v>1000520325478848.8</v>
      </c>
      <c r="D15" s="37">
        <f>'KEEI BAU - Industry'!T22</f>
        <v>1045158259657366.6</v>
      </c>
      <c r="E15" s="37">
        <f>'KEEI BAU - Industry'!U22</f>
        <v>1089796193835884.4</v>
      </c>
      <c r="F15" s="37">
        <f>'KEEI BAU - Industry'!V22</f>
        <v>1134434128014402.3</v>
      </c>
      <c r="G15" s="37">
        <f>'KEEI BAU - Industry'!W22</f>
        <v>1179072062192920</v>
      </c>
      <c r="H15" s="37">
        <f>'KEEI BAU - Industry'!X22</f>
        <v>1188034469230978</v>
      </c>
      <c r="I15" s="37">
        <f>'KEEI BAU - Industry'!Y22</f>
        <v>1196996876269038</v>
      </c>
      <c r="J15" s="37">
        <f>'KEEI BAU - Industry'!Z22</f>
        <v>1205959283307098</v>
      </c>
      <c r="K15" s="37">
        <f>'KEEI BAU - Industry'!AA22</f>
        <v>1214921690345158</v>
      </c>
      <c r="L15" s="37">
        <f>'KEEI BAU - Industry'!AB22</f>
        <v>1223884097383220</v>
      </c>
      <c r="M15" s="37">
        <f>'KEEI BAU - Industry'!AC22</f>
        <v>1221925057968706.5</v>
      </c>
      <c r="N15" s="37">
        <f>'KEEI BAU - Industry'!AD22</f>
        <v>1219966018554192.5</v>
      </c>
      <c r="O15" s="37">
        <f>'KEEI BAU - Industry'!AE22</f>
        <v>1218006979139678.5</v>
      </c>
      <c r="P15" s="37">
        <f>'KEEI BAU - Industry'!AF22</f>
        <v>1216047939725164.5</v>
      </c>
      <c r="Q15" s="37">
        <f>'KEEI BAU - Industry'!AG22</f>
        <v>1214088900310650</v>
      </c>
      <c r="R15" s="37">
        <f>'KEEI BAU - Industry'!AH22</f>
        <v>1206316193321890</v>
      </c>
      <c r="S15" s="37">
        <f>'KEEI BAU - Industry'!AI22</f>
        <v>1198543486333130</v>
      </c>
      <c r="T15" s="37">
        <f>'KEEI BAU - Industry'!AJ22</f>
        <v>1190770779344370</v>
      </c>
      <c r="U15" s="37">
        <f>'KEEI BAU - Industry'!AK22</f>
        <v>1182998072355610</v>
      </c>
      <c r="V15" s="37">
        <f>'KEEI BAU - Industry'!AL22</f>
        <v>1175225365366850</v>
      </c>
      <c r="W15" s="37">
        <f>'KEEI BAU - Industry'!AM22</f>
        <v>1175204215143750</v>
      </c>
      <c r="X15" s="37">
        <f>'KEEI BAU - Industry'!AN22</f>
        <v>1169897912580428</v>
      </c>
      <c r="Y15" s="37">
        <f>'KEEI BAU - Industry'!AO22</f>
        <v>1164591610017106</v>
      </c>
      <c r="Z15" s="37">
        <f>'KEEI BAU - Industry'!AP22</f>
        <v>1159285307453784</v>
      </c>
      <c r="AA15" s="37">
        <f>'KEEI BAU - Industry'!AQ22</f>
        <v>1153979004890462</v>
      </c>
      <c r="AB15" s="37">
        <f>'KEEI BAU - Industry'!AR22</f>
        <v>1148672702327138</v>
      </c>
      <c r="AC15" s="37">
        <f>'KEEI BAU - Industry'!AS22</f>
        <v>1143366399763816</v>
      </c>
      <c r="AD15" s="37">
        <f>'KEEI BAU - Industry'!AT22</f>
        <v>1138060097200494</v>
      </c>
      <c r="AE15" s="37">
        <f>'KEEI BAU - Industry'!AU22</f>
        <v>1132753794637172</v>
      </c>
      <c r="AF15" s="37">
        <f>'KEEI BAU - Industry'!AV22</f>
        <v>1127447492073850</v>
      </c>
    </row>
    <row r="16" spans="1:35">
      <c r="A16" s="4" t="s">
        <v>16</v>
      </c>
      <c r="B16" s="20">
        <f>'KEEI BAU - Industry'!R$15*'Non-ferrous Metals Split'!$F$6</f>
        <v>79676747810506.031</v>
      </c>
      <c r="C16" s="20">
        <f>'KEEI BAU - Industry'!S$15*'Non-ferrous Metals Split'!$F$6</f>
        <v>80395000153035.156</v>
      </c>
      <c r="D16" s="20">
        <f>'KEEI BAU - Industry'!T$15*'Non-ferrous Metals Split'!$F$6</f>
        <v>81113252495564.297</v>
      </c>
      <c r="E16" s="20">
        <f>'KEEI BAU - Industry'!U$15*'Non-ferrous Metals Split'!$F$6</f>
        <v>81831504838093.406</v>
      </c>
      <c r="F16" s="20">
        <f>'KEEI BAU - Industry'!V$15*'Non-ferrous Metals Split'!$F$6</f>
        <v>82549757180622.547</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4" t="s">
        <v>17</v>
      </c>
      <c r="B17" s="20">
        <f>'KEEI BAU - Industry'!R$15*'Non-ferrous Metals Split'!$F$7</f>
        <v>2439084116648.1553</v>
      </c>
      <c r="C17" s="20">
        <f>'KEEI BAU - Industry'!S$15*'Non-ferrous Metals Split'!$F$7</f>
        <v>2461071433256.1899</v>
      </c>
      <c r="D17" s="20">
        <f>'KEEI BAU - Industry'!T$15*'Non-ferrous Metals Split'!$F$7</f>
        <v>2483058749864.2246</v>
      </c>
      <c r="E17" s="20">
        <f>'KEEI BAU - Industry'!U$15*'Non-ferrous Metals Split'!$F$7</f>
        <v>2505046066472.2593</v>
      </c>
      <c r="F17" s="20">
        <f>'KEEI BAU - Industry'!V$15*'Non-ferrous Metals Split'!$F$7</f>
        <v>2527033383080.2939</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62124983731826.484</v>
      </c>
      <c r="C23" s="20">
        <f>'KEEI BAU - Industry'!S$36*'Others Split'!$F$14</f>
        <v>68109248051180.227</v>
      </c>
      <c r="D23" s="20">
        <f>'KEEI BAU - Industry'!T$36*'Others Split'!$F$14</f>
        <v>74093512370533.969</v>
      </c>
      <c r="E23" s="20">
        <f>'KEEI BAU - Industry'!U$36*'Others Split'!$F$14</f>
        <v>80077776689887.703</v>
      </c>
      <c r="F23" s="20">
        <f>'KEEI BAU - Industry'!V$36*'Others Split'!$F$14</f>
        <v>86062041009241.438</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17606129862.968643</v>
      </c>
      <c r="C26" s="20">
        <f>'KEEI BAU - Industry'!S$36*'Others Split'!$F$15</f>
        <v>19302061650.986099</v>
      </c>
      <c r="D26" s="20">
        <f>'KEEI BAU - Industry'!T$36*'Others Split'!$F$15</f>
        <v>20997993439.003548</v>
      </c>
      <c r="E26" s="20">
        <f>'KEEI BAU - Industry'!U$36*'Others Split'!$F$15</f>
        <v>22693925227.021</v>
      </c>
      <c r="F26" s="20">
        <f>'KEEI BAU - Industry'!V$36*'Others Split'!$F$15</f>
        <v>24389857015.038452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5"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55" zoomScaleNormal="55" workbookViewId="0">
      <selection activeCell="M70" sqref="M70"/>
    </sheetView>
  </sheetViews>
  <sheetFormatPr defaultColWidth="9.08203125" defaultRowHeight="17"/>
  <cols>
    <col min="1" max="1" width="39.9140625" style="4" customWidth="1"/>
    <col min="2" max="2" width="22" style="4" bestFit="1" customWidth="1"/>
    <col min="3" max="33" width="10.66406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Industry'!R38*'Others Split'!$G$6</f>
        <v>2519586998.184525</v>
      </c>
      <c r="C2" s="20">
        <f>'KEEI BAU - Industry'!S38*'Others Split'!$G$6</f>
        <v>2333608263.3715711</v>
      </c>
      <c r="D2" s="20">
        <f>'KEEI BAU - Industry'!T38*'Others Split'!$G$6</f>
        <v>2147629528.5586166</v>
      </c>
      <c r="E2" s="20">
        <f>'KEEI BAU - Industry'!U38*'Others Split'!$G$6</f>
        <v>1961650793.7456622</v>
      </c>
      <c r="F2" s="20">
        <f>'KEEI BAU - Industry'!V38*'Others Split'!$G$6</f>
        <v>1775672058.9327078</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Industry'!R$38*'Others Split'!$G$7</f>
        <v>0</v>
      </c>
      <c r="C5" s="20">
        <f>'KEEI BAU - Industry'!S$38*'Others Split'!$G$7</f>
        <v>0</v>
      </c>
      <c r="D5" s="20">
        <f>'KEEI BAU - Industry'!T$38*'Others Split'!$G$7</f>
        <v>0</v>
      </c>
      <c r="E5" s="20">
        <f>'KEEI BAU - Industry'!U$38*'Others Split'!$G$7</f>
        <v>0</v>
      </c>
      <c r="F5" s="20">
        <f>'KEEI BAU - Industry'!V$38*'Others Split'!$G$7</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f>'KEEI BAU - Industry'!R$38*'Others Split'!$G$8</f>
        <v>49927214155903.266</v>
      </c>
      <c r="C6" s="20">
        <f>'KEEI BAU - Industry'!S$38*'Others Split'!$G$8</f>
        <v>46241927587850.313</v>
      </c>
      <c r="D6" s="20">
        <f>'KEEI BAU - Industry'!T$38*'Others Split'!$G$8</f>
        <v>42556641019797.344</v>
      </c>
      <c r="E6" s="20">
        <f>'KEEI BAU - Industry'!U$38*'Others Split'!$G$8</f>
        <v>38871354451744.383</v>
      </c>
      <c r="F6" s="20">
        <f>'KEEI BAU - Industry'!V$38*'Others Split'!$G$8</f>
        <v>35186067883691.414</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4" t="s">
        <v>7</v>
      </c>
      <c r="B7" s="20">
        <f>'KEEI BAU - Industry'!R$38*'Others Split'!$G$9</f>
        <v>16037355603468.762</v>
      </c>
      <c r="C7" s="20">
        <f>'KEEI BAU - Industry'!S$38*'Others Split'!$G$9</f>
        <v>14853587348184.201</v>
      </c>
      <c r="D7" s="20">
        <f>'KEEI BAU - Industry'!T$38*'Others Split'!$G$9</f>
        <v>13669819092899.637</v>
      </c>
      <c r="E7" s="20">
        <f>'KEEI BAU - Industry'!U$38*'Others Split'!$G$9</f>
        <v>12486050837615.074</v>
      </c>
      <c r="F7" s="20">
        <f>'KEEI BAU - Industry'!V$38*'Others Split'!$G$9</f>
        <v>11302282582330.51</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4" t="s">
        <v>8</v>
      </c>
      <c r="B8" s="20">
        <f>'KEEI BAU - Industry'!R$38*'Others Split'!$G$10</f>
        <v>1659240218316.6387</v>
      </c>
      <c r="C8" s="20">
        <f>'KEEI BAU - Industry'!S$38*'Others Split'!$G$10</f>
        <v>1536766417342.2542</v>
      </c>
      <c r="D8" s="20">
        <f>'KEEI BAU - Industry'!T$38*'Others Split'!$G$10</f>
        <v>1414292616367.8696</v>
      </c>
      <c r="E8" s="20">
        <f>'KEEI BAU - Industry'!U$38*'Others Split'!$G$10</f>
        <v>1291818815393.4849</v>
      </c>
      <c r="F8" s="20">
        <f>'KEEI BAU - Industry'!V$38*'Others Split'!$G$10</f>
        <v>1169345014419.1003</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4" t="s">
        <v>9</v>
      </c>
      <c r="B9" s="20">
        <f>'KEEI BAU - Industry'!R$38*'Others Split'!$G$11</f>
        <v>17984504726334.047</v>
      </c>
      <c r="C9" s="20">
        <f>'KEEI BAU - Industry'!S$38*'Others Split'!$G$11</f>
        <v>16657011197572.693</v>
      </c>
      <c r="D9" s="20">
        <f>'KEEI BAU - Industry'!T$38*'Others Split'!$G$11</f>
        <v>15329517668811.34</v>
      </c>
      <c r="E9" s="20">
        <f>'KEEI BAU - Industry'!U$38*'Others Split'!$G$11</f>
        <v>14002024140049.984</v>
      </c>
      <c r="F9" s="20">
        <f>'KEEI BAU - Industry'!V$38*'Others Split'!$G$11</f>
        <v>12674530611288.629</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Industry'!R$10*'Petrochemicals Split'!$G$6</f>
        <v>124665316002242.16</v>
      </c>
      <c r="C11" s="20">
        <f>'KEEI BAU - Industry'!S$10*'Petrochemicals Split'!$G$6</f>
        <v>117485877871597.38</v>
      </c>
      <c r="D11" s="20">
        <f>'KEEI BAU - Industry'!T$10*'Petrochemicals Split'!$G$6</f>
        <v>110306439740952.61</v>
      </c>
      <c r="E11" s="20">
        <f>'KEEI BAU - Industry'!U$10*'Petrochemicals Split'!$G$6</f>
        <v>103127001610307.83</v>
      </c>
      <c r="F11" s="20">
        <f>'KEEI BAU - Industry'!V$10*'Petrochemicals Split'!$G$6</f>
        <v>95947563479663.063</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4" t="s">
        <v>12</v>
      </c>
      <c r="B12" s="20">
        <f>'KEEI BAU - Industry'!R$10*'Petrochemicals Split'!$G$7</f>
        <v>131302191073559.84</v>
      </c>
      <c r="C12" s="20">
        <f>'KEEI BAU - Industry'!S$10*'Petrochemicals Split'!$G$7</f>
        <v>123740537299596.22</v>
      </c>
      <c r="D12" s="20">
        <f>'KEEI BAU - Industry'!T$10*'Petrochemicals Split'!$G$7</f>
        <v>116178883525632.61</v>
      </c>
      <c r="E12" s="20">
        <f>'KEEI BAU - Industry'!U$10*'Petrochemicals Split'!$G$7</f>
        <v>108617229751668.98</v>
      </c>
      <c r="F12" s="20">
        <f>'KEEI BAU - Industry'!V$10*'Petrochemicals Split'!$G$7</f>
        <v>101055575977705.38</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4" t="s">
        <v>13</v>
      </c>
      <c r="B13" s="20">
        <f>'KEEI BAU - Industry'!R$38*'Others Split'!$G$12</f>
        <v>14398662326831.67</v>
      </c>
      <c r="C13" s="20">
        <f>'KEEI BAU - Industry'!S$38*'Others Split'!$G$12</f>
        <v>13335851237366.369</v>
      </c>
      <c r="D13" s="20">
        <f>'KEEI BAU - Industry'!T$38*'Others Split'!$G$12</f>
        <v>12273040147901.068</v>
      </c>
      <c r="E13" s="20">
        <f>'KEEI BAU - Industry'!U$38*'Others Split'!$G$12</f>
        <v>11210229058435.766</v>
      </c>
      <c r="F13" s="20">
        <f>'KEEI BAU - Industry'!V$38*'Others Split'!$G$12</f>
        <v>10147417968970.465</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4" t="s">
        <v>14</v>
      </c>
      <c r="B14" s="20">
        <f>'KEEI BAU - Industry'!R$38*'Others Split'!$G$13</f>
        <v>22366966790652.66</v>
      </c>
      <c r="C14" s="20">
        <f>'KEEI BAU - Industry'!S$38*'Others Split'!$G$13</f>
        <v>20715989789927.445</v>
      </c>
      <c r="D14" s="20">
        <f>'KEEI BAU - Industry'!T$38*'Others Split'!$G$13</f>
        <v>19065012789202.223</v>
      </c>
      <c r="E14" s="20">
        <f>'KEEI BAU - Industry'!U$38*'Others Split'!$G$13</f>
        <v>17414035788477.002</v>
      </c>
      <c r="F14" s="20">
        <f>'KEEI BAU - Industry'!V$38*'Others Split'!$G$13</f>
        <v>15763058787751.781</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4" t="s">
        <v>15</v>
      </c>
      <c r="B15" s="179">
        <f>'KEEI BAU - Industry'!R24</f>
        <v>115985416512739.73</v>
      </c>
      <c r="C15" s="37">
        <f>'KEEI BAU - Industry'!S24</f>
        <v>106953695130523.78</v>
      </c>
      <c r="D15" s="37">
        <f>'KEEI BAU - Industry'!T24</f>
        <v>97921973748307.844</v>
      </c>
      <c r="E15" s="37">
        <f>'KEEI BAU - Industry'!U24</f>
        <v>88890252366091.891</v>
      </c>
      <c r="F15" s="37">
        <f>'KEEI BAU - Industry'!V24</f>
        <v>79858530983875.938</v>
      </c>
      <c r="G15" s="37">
        <f>'KEEI BAU - Industry'!W24</f>
        <v>70826809601660</v>
      </c>
      <c r="H15" s="37">
        <f>'KEEI BAU - Industry'!X24</f>
        <v>71366140290676</v>
      </c>
      <c r="I15" s="37">
        <f>'KEEI BAU - Industry'!Y24</f>
        <v>71905470979692</v>
      </c>
      <c r="J15" s="37">
        <f>'KEEI BAU - Industry'!Z24</f>
        <v>72444801668708</v>
      </c>
      <c r="K15" s="37">
        <f>'KEEI BAU - Industry'!AA24</f>
        <v>72984132357724</v>
      </c>
      <c r="L15" s="37">
        <f>'KEEI BAU - Industry'!AB24</f>
        <v>73523463046740</v>
      </c>
      <c r="M15" s="37">
        <f>'KEEI BAU - Industry'!AC24</f>
        <v>74150038406038</v>
      </c>
      <c r="N15" s="37">
        <f>'KEEI BAU - Industry'!AD24</f>
        <v>74776613765336</v>
      </c>
      <c r="O15" s="37">
        <f>'KEEI BAU - Industry'!AE24</f>
        <v>75403189124634</v>
      </c>
      <c r="P15" s="37">
        <f>'KEEI BAU - Industry'!AF24</f>
        <v>76029764483932</v>
      </c>
      <c r="Q15" s="37">
        <f>'KEEI BAU - Industry'!AG24</f>
        <v>76656339843230</v>
      </c>
      <c r="R15" s="37">
        <f>'KEEI BAU - Industry'!AH24</f>
        <v>77171876531260</v>
      </c>
      <c r="S15" s="37">
        <f>'KEEI BAU - Industry'!AI24</f>
        <v>77687413219290</v>
      </c>
      <c r="T15" s="37">
        <f>'KEEI BAU - Industry'!AJ24</f>
        <v>78202949907320</v>
      </c>
      <c r="U15" s="37">
        <f>'KEEI BAU - Industry'!AK24</f>
        <v>78718486595350</v>
      </c>
      <c r="V15" s="37">
        <f>'KEEI BAU - Industry'!AL24</f>
        <v>79234023283380</v>
      </c>
      <c r="W15" s="37">
        <f>'KEEI BAU - Industry'!AM24</f>
        <v>79897611533100.75</v>
      </c>
      <c r="X15" s="37">
        <f>'KEEI BAU - Industry'!AN24</f>
        <v>80460255536214.25</v>
      </c>
      <c r="Y15" s="37">
        <f>'KEEI BAU - Industry'!AO24</f>
        <v>81022899539327.5</v>
      </c>
      <c r="Z15" s="37">
        <f>'KEEI BAU - Industry'!AP24</f>
        <v>81585543542441</v>
      </c>
      <c r="AA15" s="37">
        <f>'KEEI BAU - Industry'!AQ24</f>
        <v>82148187545554.25</v>
      </c>
      <c r="AB15" s="37">
        <f>'KEEI BAU - Industry'!AR24</f>
        <v>82710831548667.75</v>
      </c>
      <c r="AC15" s="37">
        <f>'KEEI BAU - Industry'!AS24</f>
        <v>83273475551781</v>
      </c>
      <c r="AD15" s="37">
        <f>'KEEI BAU - Industry'!AT24</f>
        <v>83836119554894.5</v>
      </c>
      <c r="AE15" s="37">
        <f>'KEEI BAU - Industry'!AU24</f>
        <v>84398763558008</v>
      </c>
      <c r="AF15" s="37">
        <f>'KEEI BAU - Industry'!AV24</f>
        <v>84961407561121.25</v>
      </c>
    </row>
    <row r="16" spans="1:35">
      <c r="A16" s="4" t="s">
        <v>16</v>
      </c>
      <c r="B16" s="20">
        <f>'KEEI BAU - Industry'!R$17*'Non-ferrous Metals Split'!$G$6</f>
        <v>15687627942365.611</v>
      </c>
      <c r="C16" s="20">
        <f>'KEEI BAU - Industry'!S$17*'Non-ferrous Metals Split'!$G$6</f>
        <v>14604974088948.871</v>
      </c>
      <c r="D16" s="20">
        <f>'KEEI BAU - Industry'!T$17*'Non-ferrous Metals Split'!$G$6</f>
        <v>13522320235532.133</v>
      </c>
      <c r="E16" s="20">
        <f>'KEEI BAU - Industry'!U$17*'Non-ferrous Metals Split'!$G$6</f>
        <v>12439666382115.393</v>
      </c>
      <c r="F16" s="20">
        <f>'KEEI BAU - Industry'!V$17*'Non-ferrous Metals Split'!$G$6</f>
        <v>11357012528698.654</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4" t="s">
        <v>17</v>
      </c>
      <c r="B17" s="20">
        <f>'KEEI BAU - Industry'!R$17*'Non-ferrous Metals Split'!$G$7</f>
        <v>22640931151656.746</v>
      </c>
      <c r="C17" s="20">
        <f>'KEEI BAU - Industry'!S$17*'Non-ferrous Metals Split'!$G$7</f>
        <v>21078407394315.012</v>
      </c>
      <c r="D17" s="20">
        <f>'KEEI BAU - Industry'!T$17*'Non-ferrous Metals Split'!$G$7</f>
        <v>19515883636973.281</v>
      </c>
      <c r="E17" s="20">
        <f>'KEEI BAU - Industry'!U$17*'Non-ferrous Metals Split'!$G$7</f>
        <v>17953359879631.547</v>
      </c>
      <c r="F17" s="20">
        <f>'KEEI BAU - Industry'!V$17*'Non-ferrous Metals Split'!$G$7</f>
        <v>16390836122289.814</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4" t="s">
        <v>18</v>
      </c>
      <c r="B18" s="20">
        <f>'KEEI BAU - Industry'!R$31*'Machinery Split'!$G6</f>
        <v>70791534040719.109</v>
      </c>
      <c r="C18" s="20">
        <f>'KEEI BAU - Industry'!S$31*'Machinery Split'!$G6</f>
        <v>65221556746782.125</v>
      </c>
      <c r="D18" s="20">
        <f>'KEEI BAU - Industry'!T$31*'Machinery Split'!$G6</f>
        <v>59651579452845.148</v>
      </c>
      <c r="E18" s="20">
        <f>'KEEI BAU - Industry'!U$31*'Machinery Split'!$G6</f>
        <v>54081602158908.164</v>
      </c>
      <c r="F18" s="20">
        <f>'KEEI BAU - Industry'!V$31*'Machinery Split'!$G6</f>
        <v>48511624864971.18</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4" t="s">
        <v>19</v>
      </c>
      <c r="B19" s="20">
        <f>'KEEI BAU - Industry'!R$31*'Machinery Split'!$G7</f>
        <v>10415933592828.84</v>
      </c>
      <c r="C19" s="20">
        <f>'KEEI BAU - Industry'!S$31*'Machinery Split'!$G7</f>
        <v>9596393313141.707</v>
      </c>
      <c r="D19" s="20">
        <f>'KEEI BAU - Industry'!T$31*'Machinery Split'!$G7</f>
        <v>8776853033454.5762</v>
      </c>
      <c r="E19" s="20">
        <f>'KEEI BAU - Industry'!U$31*'Machinery Split'!$G7</f>
        <v>7957312753767.4434</v>
      </c>
      <c r="F19" s="20">
        <f>'KEEI BAU - Industry'!V$31*'Machinery Split'!$G7</f>
        <v>7137772474080.3115</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4" t="s">
        <v>20</v>
      </c>
      <c r="B20" s="20">
        <f>'KEEI BAU - Industry'!R$31*'Machinery Split'!$G8</f>
        <v>8276890557616.5781</v>
      </c>
      <c r="C20" s="20">
        <f>'KEEI BAU - Industry'!S$31*'Machinery Split'!$G8</f>
        <v>7625653187286.2793</v>
      </c>
      <c r="D20" s="20">
        <f>'KEEI BAU - Industry'!T$31*'Machinery Split'!$G8</f>
        <v>6974415816955.9814</v>
      </c>
      <c r="E20" s="20">
        <f>'KEEI BAU - Industry'!U$31*'Machinery Split'!$G8</f>
        <v>6323178446625.6816</v>
      </c>
      <c r="F20" s="20">
        <f>'KEEI BAU - Industry'!V$31*'Machinery Split'!$G8</f>
        <v>5671941076295.3828</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4" t="s">
        <v>21</v>
      </c>
      <c r="B21" s="20">
        <f>'KEEI BAU - Industry'!R$31*'Machinery Split'!$G9</f>
        <v>43485411971036.188</v>
      </c>
      <c r="C21" s="20">
        <f>'KEEI BAU - Industry'!S$31*'Machinery Split'!$G9</f>
        <v>40063918700995.633</v>
      </c>
      <c r="D21" s="20">
        <f>'KEEI BAU - Industry'!T$31*'Machinery Split'!$G9</f>
        <v>36642425430955.086</v>
      </c>
      <c r="E21" s="20">
        <f>'KEEI BAU - Industry'!U$31*'Machinery Split'!$G9</f>
        <v>33220932160914.535</v>
      </c>
      <c r="F21" s="20">
        <f>'KEEI BAU - Industry'!V$31*'Machinery Split'!$G9</f>
        <v>29799438890873.984</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4" t="s">
        <v>22</v>
      </c>
      <c r="B22" s="20">
        <f>'KEEI BAU - Industry'!R$31*'Machinery Split'!$G10</f>
        <v>4842996545599.2725</v>
      </c>
      <c r="C22" s="20">
        <f>'KEEI BAU - Industry'!S$31*'Machinery Split'!$G10</f>
        <v>4461942777530.2402</v>
      </c>
      <c r="D22" s="20">
        <f>'KEEI BAU - Industry'!T$31*'Machinery Split'!$G10</f>
        <v>4080889009461.2085</v>
      </c>
      <c r="E22" s="20">
        <f>'KEEI BAU - Industry'!U$31*'Machinery Split'!$G10</f>
        <v>3699835241392.1758</v>
      </c>
      <c r="F22" s="20">
        <f>'KEEI BAU - Industry'!V$31*'Machinery Split'!$G10</f>
        <v>3318781473323.1436</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4" t="s">
        <v>23</v>
      </c>
      <c r="B23" s="20">
        <f>'KEEI BAU - Industry'!R$38*'Others Split'!$G$14</f>
        <v>23499450491970.035</v>
      </c>
      <c r="C23" s="20">
        <f>'KEEI BAU - Industry'!S$38*'Others Split'!$G$14</f>
        <v>21764881265170.047</v>
      </c>
      <c r="D23" s="20">
        <f>'KEEI BAU - Industry'!T$38*'Others Split'!$G$14</f>
        <v>20030312038370.055</v>
      </c>
      <c r="E23" s="20">
        <f>'KEEI BAU - Industry'!U$38*'Others Split'!$G$14</f>
        <v>18295742811570.059</v>
      </c>
      <c r="F23" s="20">
        <f>'KEEI BAU - Industry'!V$38*'Others Split'!$G$14</f>
        <v>16561173584770.066</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4" t="s">
        <v>24</v>
      </c>
      <c r="B24" s="179">
        <f>-SUM('2019 KESIS Energy Balance'!Q44:R44)*'KEEI BAU - Industry'!$A$44/1000*(1+'KEEI BAU - Gas Supply'!R9)</f>
        <v>4617163393378.5254</v>
      </c>
      <c r="C24" s="179">
        <f>B24*(1+'KEEI BAU - Gas Supply'!S9)</f>
        <v>4649857303447.8115</v>
      </c>
      <c r="D24" s="179">
        <f>C24*(1+'KEEI BAU - Gas Supply'!T9)</f>
        <v>4682551213517.0977</v>
      </c>
      <c r="E24" s="179">
        <f>D24*(1+'KEEI BAU - Gas Supply'!U9)</f>
        <v>4715245123586.3828</v>
      </c>
      <c r="F24" s="179">
        <f>E24*(1+'KEEI BAU - Gas Supply'!V9)</f>
        <v>4747939033655.668</v>
      </c>
      <c r="G24" s="179">
        <f>F24*(1+'KEEI BAU - Gas Supply'!W9)</f>
        <v>4780632943724.9541</v>
      </c>
      <c r="H24" s="179">
        <f>G24*(1+'KEEI BAU - Gas Supply'!X9)</f>
        <v>4867544254659.1299</v>
      </c>
      <c r="I24" s="179">
        <f>H24*(1+'KEEI BAU - Gas Supply'!Y9)</f>
        <v>4954455565593.3145</v>
      </c>
      <c r="J24" s="179">
        <f>I24*(1+'KEEI BAU - Gas Supply'!Z9)</f>
        <v>5041366876527.498</v>
      </c>
      <c r="K24" s="179">
        <f>J24*(1+'KEEI BAU - Gas Supply'!AA9)</f>
        <v>5128278187461.6826</v>
      </c>
      <c r="L24" s="179">
        <f>K24*(1+'KEEI BAU - Gas Supply'!AB9)</f>
        <v>5215189498395.876</v>
      </c>
      <c r="M24" s="179">
        <f>L24*(1+'KEEI BAU - Gas Supply'!AC9)</f>
        <v>5278329612217.1758</v>
      </c>
      <c r="N24" s="179">
        <f>M24*(1+'KEEI BAU - Gas Supply'!AD9)</f>
        <v>5341469726038.4834</v>
      </c>
      <c r="O24" s="179">
        <f>N24*(1+'KEEI BAU - Gas Supply'!AE9)</f>
        <v>5404609839859.791</v>
      </c>
      <c r="P24" s="179">
        <f>O24*(1+'KEEI BAU - Gas Supply'!AF9)</f>
        <v>5467749953681.0986</v>
      </c>
      <c r="Q24" s="179">
        <f>P24*(1+'KEEI BAU - Gas Supply'!AG9)</f>
        <v>5530890067502.4141</v>
      </c>
      <c r="R24" s="179">
        <f>Q24*(1+'KEEI BAU - Gas Supply'!AH9)</f>
        <v>5636038450147.126</v>
      </c>
      <c r="S24" s="179">
        <f>R24*(1+'KEEI BAU - Gas Supply'!AI9)</f>
        <v>5741186832791.8281</v>
      </c>
      <c r="T24" s="179">
        <f>S24*(1+'KEEI BAU - Gas Supply'!AJ9)</f>
        <v>5846335215436.5313</v>
      </c>
      <c r="U24" s="179">
        <f>T24*(1+'KEEI BAU - Gas Supply'!AK9)</f>
        <v>5951483598081.2344</v>
      </c>
      <c r="V24" s="179">
        <f>U24*(1+'KEEI BAU - Gas Supply'!AL9)</f>
        <v>6056631980725.9502</v>
      </c>
      <c r="W24" s="179">
        <f>V24*(1+'KEEI BAU - Gas Supply'!AM9)</f>
        <v>6105769338272.7686</v>
      </c>
      <c r="X24" s="179">
        <f>W24*(1+'KEEI BAU - Gas Supply'!AN9)</f>
        <v>6193096031113.627</v>
      </c>
      <c r="Y24" s="179">
        <f>X24*(1+'KEEI BAU - Gas Supply'!AO9)</f>
        <v>6280422723954.4502</v>
      </c>
      <c r="Z24" s="179">
        <f>Y24*(1+'KEEI BAU - Gas Supply'!AP9)</f>
        <v>6367749416795.3076</v>
      </c>
      <c r="AA24" s="179">
        <f>Z24*(1+'KEEI BAU - Gas Supply'!AQ9)</f>
        <v>6455076109636.1309</v>
      </c>
      <c r="AB24" s="179">
        <f>AA24*(1+'KEEI BAU - Gas Supply'!AR9)</f>
        <v>6542402802476.9893</v>
      </c>
      <c r="AC24" s="179">
        <f>AB24*(1+'KEEI BAU - Gas Supply'!AS9)</f>
        <v>6629729495317.8135</v>
      </c>
      <c r="AD24" s="179">
        <f>AC24*(1+'KEEI BAU - Gas Supply'!AT9)</f>
        <v>6717056188158.6709</v>
      </c>
      <c r="AE24" s="179">
        <f>AD24*(1+'KEEI BAU - Gas Supply'!AU9)</f>
        <v>6804382880999.5293</v>
      </c>
      <c r="AF24" s="179">
        <f>AE24*(1+'KEEI BAU - Gas Supply'!AV9)</f>
        <v>6891709573840.3535</v>
      </c>
      <c r="AG24" s="16"/>
    </row>
    <row r="25" spans="1:33">
      <c r="A25" s="4" t="s">
        <v>25</v>
      </c>
      <c r="B25" s="179">
        <f>'Water and Waste'!E34*(1+'Water and Waste'!D40)*(1+'Water and Waste'!E40)</f>
        <v>5506553237775.4502</v>
      </c>
      <c r="C25" s="179">
        <f>B25*(1+'Water and Waste'!F40)</f>
        <v>5512059791013.2246</v>
      </c>
      <c r="D25" s="179">
        <f>C25*(1+'Water and Waste'!G40)</f>
        <v>5517571850804.2373</v>
      </c>
      <c r="E25" s="179">
        <f>D25*(1+'Water and Waste'!H40)</f>
        <v>5523089422655.041</v>
      </c>
      <c r="F25" s="179">
        <f>E25*(1+'Water and Waste'!I40)</f>
        <v>5528612512077.6953</v>
      </c>
      <c r="G25" s="179">
        <f>F25*(1+'Water and Waste'!J40)</f>
        <v>5534141124589.7725</v>
      </c>
      <c r="H25" s="179">
        <f>G25*(1+'Water and Waste'!K40)</f>
        <v>5539675265714.3613</v>
      </c>
      <c r="I25" s="179">
        <f>H25*(1+'Water and Waste'!L40)</f>
        <v>5545214940980.0752</v>
      </c>
      <c r="J25" s="179">
        <f>I25*(1+'Water and Waste'!M40)</f>
        <v>5550760155921.0547</v>
      </c>
      <c r="K25" s="179">
        <f>J25*(1+'Water and Waste'!N40)</f>
        <v>5556310916076.9756</v>
      </c>
      <c r="L25" s="179">
        <f>K25*(1+'Water and Waste'!O40)</f>
        <v>5561867226993.0518</v>
      </c>
      <c r="M25" s="179">
        <f>L25*(1+'Water and Waste'!P40)</f>
        <v>5567429094220.0439</v>
      </c>
      <c r="N25" s="179">
        <f>M25*(1+'Water and Waste'!Q40)</f>
        <v>5572996523314.2637</v>
      </c>
      <c r="O25" s="179">
        <f>N25*(1+'Water and Waste'!R40)</f>
        <v>5578569519837.5771</v>
      </c>
      <c r="P25" s="179">
        <f>O25*(1+'Water and Waste'!S40)</f>
        <v>5584148089357.4141</v>
      </c>
      <c r="Q25" s="179">
        <f>P25*(1+'Water and Waste'!T40)</f>
        <v>5589732237446.7705</v>
      </c>
      <c r="R25" s="179">
        <f>Q25*(1+'Water and Waste'!U40)</f>
        <v>5595321969684.2168</v>
      </c>
      <c r="S25" s="179">
        <f>R25*(1+'Water and Waste'!V40)</f>
        <v>5600917291653.9004</v>
      </c>
      <c r="T25" s="179">
        <f>S25*(1+'Water and Waste'!W40)</f>
        <v>5606518208945.5537</v>
      </c>
      <c r="U25" s="179">
        <f>T25*(1+'Water and Waste'!X40)</f>
        <v>5612124727154.499</v>
      </c>
      <c r="V25" s="179">
        <f>U25*(1+'Water and Waste'!Y40)</f>
        <v>5617736851881.6533</v>
      </c>
      <c r="W25" s="179">
        <f>V25*(1+'Water and Waste'!Z40)</f>
        <v>5589648167622.2451</v>
      </c>
      <c r="X25" s="179">
        <f>W25*(1+'Water and Waste'!AA40)</f>
        <v>5561699926784.1338</v>
      </c>
      <c r="Y25" s="179">
        <f>X25*(1+'Water and Waste'!AB40)</f>
        <v>5533891427150.2129</v>
      </c>
      <c r="Z25" s="179">
        <f>Y25*(1+'Water and Waste'!AC40)</f>
        <v>5506221970014.4619</v>
      </c>
      <c r="AA25" s="179">
        <f>Z25*(1+'Water and Waste'!AD40)</f>
        <v>5478690860164.3896</v>
      </c>
      <c r="AB25" s="179">
        <f>AA25*(1+'Water and Waste'!AE40)</f>
        <v>5451297405863.5674</v>
      </c>
      <c r="AC25" s="179">
        <f>AB25*(1+'Water and Waste'!AF40)</f>
        <v>5424040918834.25</v>
      </c>
      <c r="AD25" s="179">
        <f>AC25*(1+'Water and Waste'!AG40)</f>
        <v>5396920714240.0791</v>
      </c>
      <c r="AE25" s="179">
        <f>AD25*(1+'Water and Waste'!AH40)</f>
        <v>5369936110668.8789</v>
      </c>
      <c r="AF25" s="179">
        <f>AE25*(1+'Water and Waste'!AI40)</f>
        <v>5343086430115.5342</v>
      </c>
    </row>
    <row r="26" spans="1:33">
      <c r="A26" s="4" t="s">
        <v>26</v>
      </c>
      <c r="B26" s="20">
        <f>'KEEI BAU - Industry'!R$38*'Others Split'!$G$15</f>
        <v>7988934384.4875193</v>
      </c>
      <c r="C26" s="20">
        <f>'KEEI BAU - Industry'!S$38*'Others Split'!$G$15</f>
        <v>7399245713.1293726</v>
      </c>
      <c r="D26" s="20">
        <f>'KEEI BAU - Industry'!T$38*'Others Split'!$G$15</f>
        <v>6809557041.771224</v>
      </c>
      <c r="E26" s="20">
        <f>'KEEI BAU - Industry'!U$38*'Others Split'!$G$15</f>
        <v>6219868370.4130754</v>
      </c>
      <c r="F26" s="20">
        <f>'KEEI BAU - Industry'!V$38*'Others Split'!$G$15</f>
        <v>5630179699.0549278</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5"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4" sqref="B24:AF24"/>
    </sheetView>
  </sheetViews>
  <sheetFormatPr defaultColWidth="9.08203125" defaultRowHeight="17"/>
  <cols>
    <col min="1" max="1" width="39.9140625" style="4" customWidth="1"/>
    <col min="2" max="33" width="11.582031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24458561772904.477</v>
      </c>
      <c r="C2" s="20">
        <f>'KEEI BAU - Industry'!S40*'Others Split'!$H$6</f>
        <v>25545826135020.988</v>
      </c>
      <c r="D2" s="20">
        <f>'KEEI BAU - Industry'!T40*'Others Split'!$H$6</f>
        <v>26633090497137.492</v>
      </c>
      <c r="E2" s="20">
        <f>'KEEI BAU - Industry'!U40*'Others Split'!$H$6</f>
        <v>27720354859254</v>
      </c>
      <c r="F2" s="20">
        <f>'KEEI BAU - Industry'!V40*'Others Split'!$H$6</f>
        <v>28807619221370.512</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10913154458.729464</v>
      </c>
      <c r="C5" s="20">
        <f>'KEEI BAU - Industry'!S$40*'Others Split'!$H$7</f>
        <v>11398280445.752716</v>
      </c>
      <c r="D5" s="20">
        <f>'KEEI BAU - Industry'!T$40*'Others Split'!$H$7</f>
        <v>11883406432.775965</v>
      </c>
      <c r="E5" s="20">
        <f>'KEEI BAU - Industry'!U$40*'Others Split'!$H$7</f>
        <v>12368532419.799213</v>
      </c>
      <c r="F5" s="20">
        <f>'KEEI BAU - Industry'!V$40*'Others Split'!$H$7</f>
        <v>12853658406.822464</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4" t="s">
        <v>6</v>
      </c>
      <c r="B6" s="20">
        <f>'KEEI BAU - Industry'!R$40*'Others Split'!$H$8</f>
        <v>9241441081559.7559</v>
      </c>
      <c r="C6" s="20">
        <f>'KEEI BAU - Industry'!S$40*'Others Split'!$H$8</f>
        <v>9652253852804.1621</v>
      </c>
      <c r="D6" s="20">
        <f>'KEEI BAU - Industry'!T$40*'Others Split'!$H$8</f>
        <v>10063066624048.566</v>
      </c>
      <c r="E6" s="20">
        <f>'KEEI BAU - Industry'!U$40*'Others Split'!$H$8</f>
        <v>10473879395292.971</v>
      </c>
      <c r="F6" s="20">
        <f>'KEEI BAU - Industry'!V$40*'Others Split'!$H$8</f>
        <v>10884692166537.377</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4" t="s">
        <v>7</v>
      </c>
      <c r="B7" s="20">
        <f>'KEEI BAU - Industry'!R$40*'Others Split'!$H$9</f>
        <v>19941789028343.996</v>
      </c>
      <c r="C7" s="20">
        <f>'KEEI BAU - Industry'!S$40*'Others Split'!$H$9</f>
        <v>20828267829864.699</v>
      </c>
      <c r="D7" s="20">
        <f>'KEEI BAU - Industry'!T$40*'Others Split'!$H$9</f>
        <v>21714746631385.402</v>
      </c>
      <c r="E7" s="20">
        <f>'KEEI BAU - Industry'!U$40*'Others Split'!$H$9</f>
        <v>22601225432906.102</v>
      </c>
      <c r="F7" s="20">
        <f>'KEEI BAU - Industry'!V$40*'Others Split'!$H$9</f>
        <v>23487704234426.805</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4" t="s">
        <v>8</v>
      </c>
      <c r="B8" s="20">
        <f>'KEEI BAU - Industry'!R$40*'Others Split'!$H$10</f>
        <v>12298579417265.172</v>
      </c>
      <c r="C8" s="20">
        <f>'KEEI BAU - Industry'!S$40*'Others Split'!$H$10</f>
        <v>12845292148341.025</v>
      </c>
      <c r="D8" s="20">
        <f>'KEEI BAU - Industry'!T$40*'Others Split'!$H$10</f>
        <v>13392004879416.875</v>
      </c>
      <c r="E8" s="20">
        <f>'KEEI BAU - Industry'!U$40*'Others Split'!$H$10</f>
        <v>13938717610492.727</v>
      </c>
      <c r="F8" s="20">
        <f>'KEEI BAU - Industry'!V$40*'Others Split'!$H$10</f>
        <v>14485430341568.578</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4" t="s">
        <v>9</v>
      </c>
      <c r="B9" s="20">
        <f>'KEEI BAU - Industry'!R$40*'Others Split'!$H$11</f>
        <v>109162828963409.66</v>
      </c>
      <c r="C9" s="20">
        <f>'KEEI BAU - Industry'!S$40*'Others Split'!$H$11</f>
        <v>114015479528138.31</v>
      </c>
      <c r="D9" s="20">
        <f>'KEEI BAU - Industry'!T$40*'Others Split'!$H$11</f>
        <v>118868130092866.94</v>
      </c>
      <c r="E9" s="20">
        <f>'KEEI BAU - Industry'!U$40*'Others Split'!$H$11</f>
        <v>123720780657595.56</v>
      </c>
      <c r="F9" s="20">
        <f>'KEEI BAU - Industry'!V$40*'Others Split'!$H$11</f>
        <v>128573431222324.2</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127229192398021.02</v>
      </c>
      <c r="C14" s="20">
        <f>'KEEI BAU - Industry'!S$40*'Others Split'!$H$13</f>
        <v>132884952863400.41</v>
      </c>
      <c r="D14" s="20">
        <f>'KEEI BAU - Industry'!T$40*'Others Split'!$H$13</f>
        <v>138540713328779.8</v>
      </c>
      <c r="E14" s="20">
        <f>'KEEI BAU - Industry'!U$40*'Others Split'!$H$13</f>
        <v>144196473794159.19</v>
      </c>
      <c r="F14" s="20">
        <f>'KEEI BAU - Industry'!V$40*'Others Split'!$H$13</f>
        <v>149852234259538.56</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4" t="s">
        <v>15</v>
      </c>
      <c r="B15" s="4">
        <f>'KEEI BAU - Industry'!R26</f>
        <v>0</v>
      </c>
      <c r="C15" s="37">
        <f>'KEEI BAU - Industry'!S26</f>
        <v>0</v>
      </c>
      <c r="D15" s="37">
        <f>'KEEI BAU - Industry'!T26</f>
        <v>0</v>
      </c>
      <c r="E15" s="37">
        <f>'KEEI BAU - Industry'!U26</f>
        <v>0</v>
      </c>
      <c r="F15" s="37">
        <f>'KEEI BAU - Industry'!V26</f>
        <v>0</v>
      </c>
      <c r="G15" s="37">
        <f>'KEEI BAU - Industry'!W26</f>
        <v>0</v>
      </c>
      <c r="H15" s="37">
        <f>'KEEI BAU - Industry'!X26</f>
        <v>0</v>
      </c>
      <c r="I15" s="37">
        <f>'KEEI BAU - Industry'!Y26</f>
        <v>0</v>
      </c>
      <c r="J15" s="37">
        <f>'KEEI BAU - Industry'!Z26</f>
        <v>0</v>
      </c>
      <c r="K15" s="37">
        <f>'KEEI BAU - Industry'!AA26</f>
        <v>0</v>
      </c>
      <c r="L15" s="37">
        <f>'KEEI BAU - Industry'!AB26</f>
        <v>0</v>
      </c>
      <c r="M15" s="37">
        <f>'KEEI BAU - Industry'!AC26</f>
        <v>0</v>
      </c>
      <c r="N15" s="37">
        <f>'KEEI BAU - Industry'!AD26</f>
        <v>0</v>
      </c>
      <c r="O15" s="37">
        <f>'KEEI BAU - Industry'!AE26</f>
        <v>0</v>
      </c>
      <c r="P15" s="37">
        <f>'KEEI BAU - Industry'!AF26</f>
        <v>0</v>
      </c>
      <c r="Q15" s="37">
        <f>'KEEI BAU - Industry'!AG26</f>
        <v>0</v>
      </c>
      <c r="R15" s="37">
        <f>'KEEI BAU - Industry'!AH26</f>
        <v>0</v>
      </c>
      <c r="S15" s="37">
        <f>'KEEI BAU - Industry'!AI26</f>
        <v>0</v>
      </c>
      <c r="T15" s="37">
        <f>'KEEI BAU - Industry'!AJ26</f>
        <v>0</v>
      </c>
      <c r="U15" s="37">
        <f>'KEEI BAU - Industry'!AK26</f>
        <v>0</v>
      </c>
      <c r="V15" s="37">
        <f>'KEEI BAU - Industry'!AL26</f>
        <v>0</v>
      </c>
      <c r="W15" s="37">
        <f>'KEEI BAU - Industry'!AM26</f>
        <v>0</v>
      </c>
      <c r="X15" s="37">
        <f>'KEEI BAU - Industry'!AN26</f>
        <v>0</v>
      </c>
      <c r="Y15" s="37">
        <f>'KEEI BAU - Industry'!AO26</f>
        <v>0</v>
      </c>
      <c r="Z15" s="37">
        <f>'KEEI BAU - Industry'!AP26</f>
        <v>0</v>
      </c>
      <c r="AA15" s="37">
        <f>'KEEI BAU - Industry'!AQ26</f>
        <v>0</v>
      </c>
      <c r="AB15" s="37">
        <f>'KEEI BAU - Industry'!AR26</f>
        <v>0</v>
      </c>
      <c r="AC15" s="37">
        <f>'KEEI BAU - Industry'!AS26</f>
        <v>0</v>
      </c>
      <c r="AD15" s="37">
        <f>'KEEI BAU - Industry'!AT26</f>
        <v>0</v>
      </c>
      <c r="AE15" s="37">
        <f>'KEEI BAU - Industry'!AU26</f>
        <v>0</v>
      </c>
      <c r="AF15" s="37">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68517148953687.078</v>
      </c>
      <c r="C23" s="20">
        <f>'KEEI BAU - Industry'!S$40*'Others Split'!$H$14</f>
        <v>71562963950613.859</v>
      </c>
      <c r="D23" s="20">
        <f>'KEEI BAU - Industry'!T$40*'Others Split'!$H$14</f>
        <v>74608778947540.625</v>
      </c>
      <c r="E23" s="20">
        <f>'KEEI BAU - Industry'!U$40*'Others Split'!$H$14</f>
        <v>77654593944467.391</v>
      </c>
      <c r="F23" s="20">
        <f>'KEEI BAU - Industry'!V$40*'Others Split'!$H$14</f>
        <v>80700408941394.172</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179">
        <f>'Water and Waste'!F34*(1+'Water and Waste'!D40)*(1+'Water and Waste'!E40)</f>
        <v>25612478040.130802</v>
      </c>
      <c r="C25" s="179">
        <f>B25*(1+'Water and Waste'!F40)</f>
        <v>25638090518.170929</v>
      </c>
      <c r="D25" s="179">
        <f>C25*(1+'Water and Waste'!G40)</f>
        <v>25663728608.689098</v>
      </c>
      <c r="E25" s="179">
        <f>D25*(1+'Water and Waste'!H40)</f>
        <v>25689392337.297783</v>
      </c>
      <c r="F25" s="179">
        <f>E25*(1+'Water and Waste'!I40)</f>
        <v>25715081729.635078</v>
      </c>
      <c r="G25" s="179">
        <f>F25*(1+'Water and Waste'!J40)</f>
        <v>25740796811.364712</v>
      </c>
      <c r="H25" s="179">
        <f>G25*(1+'Water and Waste'!K40)</f>
        <v>25766537608.176075</v>
      </c>
      <c r="I25" s="179">
        <f>H25*(1+'Water and Waste'!L40)</f>
        <v>25792304145.784248</v>
      </c>
      <c r="J25" s="179">
        <f>I25*(1+'Water and Waste'!M40)</f>
        <v>25818096449.930031</v>
      </c>
      <c r="K25" s="179">
        <f>J25*(1+'Water and Waste'!N40)</f>
        <v>25843914546.379959</v>
      </c>
      <c r="L25" s="179">
        <f>K25*(1+'Water and Waste'!O40)</f>
        <v>25869758460.926334</v>
      </c>
      <c r="M25" s="179">
        <f>L25*(1+'Water and Waste'!P40)</f>
        <v>25895628219.387257</v>
      </c>
      <c r="N25" s="179">
        <f>M25*(1+'Water and Waste'!Q40)</f>
        <v>25921523847.60664</v>
      </c>
      <c r="O25" s="179">
        <f>N25*(1+'Water and Waste'!R40)</f>
        <v>25947445371.454243</v>
      </c>
      <c r="P25" s="179">
        <f>O25*(1+'Water and Waste'!S40)</f>
        <v>25973392816.825695</v>
      </c>
      <c r="Q25" s="179">
        <f>P25*(1+'Water and Waste'!T40)</f>
        <v>25999366209.642517</v>
      </c>
      <c r="R25" s="179">
        <f>Q25*(1+'Water and Waste'!U40)</f>
        <v>26025365575.852158</v>
      </c>
      <c r="S25" s="179">
        <f>R25*(1+'Water and Waste'!V40)</f>
        <v>26051390941.428005</v>
      </c>
      <c r="T25" s="179">
        <f>S25*(1+'Water and Waste'!W40)</f>
        <v>26077442332.369431</v>
      </c>
      <c r="U25" s="179">
        <f>T25*(1+'Water and Waste'!X40)</f>
        <v>26103519774.701797</v>
      </c>
      <c r="V25" s="179">
        <f>U25*(1+'Water and Waste'!Y40)</f>
        <v>26129623294.476498</v>
      </c>
      <c r="W25" s="179">
        <f>V25*(1+'Water and Waste'!Z40)</f>
        <v>25998975178.004116</v>
      </c>
      <c r="X25" s="179">
        <f>W25*(1+'Water and Waste'!AA40)</f>
        <v>25868980302.114094</v>
      </c>
      <c r="Y25" s="179">
        <f>X25*(1+'Water and Waste'!AB40)</f>
        <v>25739635400.603523</v>
      </c>
      <c r="Z25" s="179">
        <f>Y25*(1+'Water and Waste'!AC40)</f>
        <v>25610937223.600506</v>
      </c>
      <c r="AA25" s="179">
        <f>Z25*(1+'Water and Waste'!AD40)</f>
        <v>25482882537.482502</v>
      </c>
      <c r="AB25" s="179">
        <f>AA25*(1+'Water and Waste'!AE40)</f>
        <v>25355468124.79509</v>
      </c>
      <c r="AC25" s="179">
        <f>AB25*(1+'Water and Waste'!AF40)</f>
        <v>25228690784.171116</v>
      </c>
      <c r="AD25" s="179">
        <f>AC25*(1+'Water and Waste'!AG40)</f>
        <v>25102547330.250259</v>
      </c>
      <c r="AE25" s="179">
        <f>AD25*(1+'Water and Waste'!AH40)</f>
        <v>24977034593.599007</v>
      </c>
      <c r="AF25" s="179">
        <f>AE25*(1+'Water and Waste'!AI40)</f>
        <v>24852149420.631008</v>
      </c>
    </row>
    <row r="26" spans="1:32">
      <c r="A26" s="4" t="s">
        <v>26</v>
      </c>
      <c r="B26" s="20">
        <f>'KEEI BAU - Industry'!R$40*'Others Split'!$H$15</f>
        <v>6087721328894.5859</v>
      </c>
      <c r="C26" s="20">
        <f>'KEEI BAU - Industry'!S$40*'Others Split'!$H$15</f>
        <v>6358340775322.3896</v>
      </c>
      <c r="D26" s="20">
        <f>'KEEI BAU - Industry'!T$40*'Others Split'!$H$15</f>
        <v>6628960221750.1924</v>
      </c>
      <c r="E26" s="20">
        <f>'KEEI BAU - Industry'!U$40*'Others Split'!$H$15</f>
        <v>6899579668177.9941</v>
      </c>
      <c r="F26" s="20">
        <f>'KEEI BAU - Industry'!V$40*'Others Split'!$H$15</f>
        <v>7170199114605.7979</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honeticPr fontId="35"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zoomScale="55" zoomScaleNormal="55" workbookViewId="0">
      <selection activeCell="B5" sqref="B5"/>
    </sheetView>
  </sheetViews>
  <sheetFormatPr defaultColWidth="9.08203125" defaultRowHeight="17"/>
  <cols>
    <col min="1" max="1" width="39.9140625" style="4" customWidth="1"/>
    <col min="2"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'2019 KESIS Energy Balance'!BI51*(1+'KEEI BAU - Industry'!$AW$35)</f>
        <v>0</v>
      </c>
      <c r="C2" s="179">
        <f>B2*(1+'KEEI BAU - Industry'!$AW$35)</f>
        <v>0</v>
      </c>
      <c r="D2" s="179">
        <f>C2*(1+'KEEI BAU - Industry'!$AW$35)</f>
        <v>0</v>
      </c>
      <c r="E2" s="179">
        <f>D2*(1+'KEEI BAU - Industry'!$AW$35)</f>
        <v>0</v>
      </c>
      <c r="F2" s="179">
        <f>E2*(1+'KEEI BAU - Industry'!$AW$35)</f>
        <v>0</v>
      </c>
      <c r="G2" s="179">
        <f>F2*(1+'KEEI BAU - Industry'!$AW$35)</f>
        <v>0</v>
      </c>
      <c r="H2" s="179">
        <f>G2*(1+'KEEI BAU - Industry'!$AW$35)</f>
        <v>0</v>
      </c>
      <c r="I2" s="179">
        <f>H2*(1+'KEEI BAU - Industry'!$AW$35)</f>
        <v>0</v>
      </c>
      <c r="J2" s="179">
        <f>I2*(1+'KEEI BAU - Industry'!$AW$35)</f>
        <v>0</v>
      </c>
      <c r="K2" s="179">
        <f>J2*(1+'KEEI BAU - Industry'!$AW$35)</f>
        <v>0</v>
      </c>
      <c r="L2" s="179">
        <f>K2*(1+'KEEI BAU - Industry'!$AW$35)</f>
        <v>0</v>
      </c>
      <c r="M2" s="179">
        <f>L2*(1+'KEEI BAU - Industry'!$AW$35)</f>
        <v>0</v>
      </c>
      <c r="N2" s="179">
        <f>M2*(1+'KEEI BAU - Industry'!$AW$35)</f>
        <v>0</v>
      </c>
      <c r="O2" s="179">
        <f>N2*(1+'KEEI BAU - Industry'!$AW$35)</f>
        <v>0</v>
      </c>
      <c r="P2" s="179">
        <f>O2*(1+'KEEI BAU - Industry'!$AW$35)</f>
        <v>0</v>
      </c>
      <c r="Q2" s="179">
        <f>P2*(1+'KEEI BAU - Industry'!$AW$35)</f>
        <v>0</v>
      </c>
      <c r="R2" s="179">
        <f>Q2*(1+'KEEI BAU - Industry'!$AW$35)</f>
        <v>0</v>
      </c>
      <c r="S2" s="179">
        <f>R2*(1+'KEEI BAU - Industry'!$AW$35)</f>
        <v>0</v>
      </c>
      <c r="T2" s="179">
        <f>S2*(1+'KEEI BAU - Industry'!$AW$35)</f>
        <v>0</v>
      </c>
      <c r="U2" s="179">
        <f>T2*(1+'KEEI BAU - Industry'!$AW$35)</f>
        <v>0</v>
      </c>
      <c r="V2" s="179">
        <f>U2*(1+'KEEI BAU - Industry'!$AW$35)</f>
        <v>0</v>
      </c>
      <c r="W2" s="179">
        <f>V2*(1+'KEEI BAU - Industry'!$AW$35)</f>
        <v>0</v>
      </c>
      <c r="X2" s="179">
        <f>W2*(1+'KEEI BAU - Industry'!$AW$35)</f>
        <v>0</v>
      </c>
      <c r="Y2" s="179">
        <f>X2*(1+'KEEI BAU - Industry'!$AW$35)</f>
        <v>0</v>
      </c>
      <c r="Z2" s="179">
        <f>Y2*(1+'KEEI BAU - Industry'!$AW$35)</f>
        <v>0</v>
      </c>
      <c r="AA2" s="179">
        <f>Z2*(1+'KEEI BAU - Industry'!$AW$35)</f>
        <v>0</v>
      </c>
      <c r="AB2" s="179">
        <f>AA2*(1+'KEEI BAU - Industry'!$AW$35)</f>
        <v>0</v>
      </c>
      <c r="AC2" s="179">
        <f>AB2*(1+'KEEI BAU - Industry'!$AW$35)</f>
        <v>0</v>
      </c>
      <c r="AD2" s="179">
        <f>AC2*(1+'KEEI BAU - Industry'!$AW$35)</f>
        <v>0</v>
      </c>
      <c r="AE2" s="179">
        <f>AD2*(1+'KEEI BAU - Industry'!$AW$35)</f>
        <v>0</v>
      </c>
      <c r="AF2" s="179">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4">
        <f>'2019 KESIS Energy Balance'!BI53*(1+'KEEI BAU - Industry'!$AW$35)</f>
        <v>0</v>
      </c>
      <c r="C5" s="179">
        <f>B5*(1+'KEEI BAU - Industry'!$AW$35)</f>
        <v>0</v>
      </c>
      <c r="D5" s="179">
        <f>C5*(1+'KEEI BAU - Industry'!$AW$35)</f>
        <v>0</v>
      </c>
      <c r="E5" s="179">
        <f>D5*(1+'KEEI BAU - Industry'!$AW$35)</f>
        <v>0</v>
      </c>
      <c r="F5" s="179">
        <f>E5*(1+'KEEI BAU - Industry'!$AW$35)</f>
        <v>0</v>
      </c>
      <c r="G5" s="179">
        <f>F5*(1+'KEEI BAU - Industry'!$AW$35)</f>
        <v>0</v>
      </c>
      <c r="H5" s="179">
        <f>G5*(1+'KEEI BAU - Industry'!$AW$35)</f>
        <v>0</v>
      </c>
      <c r="I5" s="179">
        <f>H5*(1+'KEEI BAU - Industry'!$AW$35)</f>
        <v>0</v>
      </c>
      <c r="J5" s="179">
        <f>I5*(1+'KEEI BAU - Industry'!$AW$35)</f>
        <v>0</v>
      </c>
      <c r="K5" s="179">
        <f>J5*(1+'KEEI BAU - Industry'!$AW$35)</f>
        <v>0</v>
      </c>
      <c r="L5" s="179">
        <f>K5*(1+'KEEI BAU - Industry'!$AW$35)</f>
        <v>0</v>
      </c>
      <c r="M5" s="179">
        <f>L5*(1+'KEEI BAU - Industry'!$AW$35)</f>
        <v>0</v>
      </c>
      <c r="N5" s="179">
        <f>M5*(1+'KEEI BAU - Industry'!$AW$35)</f>
        <v>0</v>
      </c>
      <c r="O5" s="179">
        <f>N5*(1+'KEEI BAU - Industry'!$AW$35)</f>
        <v>0</v>
      </c>
      <c r="P5" s="179">
        <f>O5*(1+'KEEI BAU - Industry'!$AW$35)</f>
        <v>0</v>
      </c>
      <c r="Q5" s="179">
        <f>P5*(1+'KEEI BAU - Industry'!$AW$35)</f>
        <v>0</v>
      </c>
      <c r="R5" s="179">
        <f>Q5*(1+'KEEI BAU - Industry'!$AW$35)</f>
        <v>0</v>
      </c>
      <c r="S5" s="179">
        <f>R5*(1+'KEEI BAU - Industry'!$AW$35)</f>
        <v>0</v>
      </c>
      <c r="T5" s="179">
        <f>S5*(1+'KEEI BAU - Industry'!$AW$35)</f>
        <v>0</v>
      </c>
      <c r="U5" s="179">
        <f>T5*(1+'KEEI BAU - Industry'!$AW$35)</f>
        <v>0</v>
      </c>
      <c r="V5" s="179">
        <f>U5*(1+'KEEI BAU - Industry'!$AW$35)</f>
        <v>0</v>
      </c>
      <c r="W5" s="179">
        <f>V5*(1+'KEEI BAU - Industry'!$AW$35)</f>
        <v>0</v>
      </c>
      <c r="X5" s="179">
        <f>W5*(1+'KEEI BAU - Industry'!$AW$35)</f>
        <v>0</v>
      </c>
      <c r="Y5" s="179">
        <f>X5*(1+'KEEI BAU - Industry'!$AW$35)</f>
        <v>0</v>
      </c>
      <c r="Z5" s="179">
        <f>Y5*(1+'KEEI BAU - Industry'!$AW$35)</f>
        <v>0</v>
      </c>
      <c r="AA5" s="179">
        <f>Z5*(1+'KEEI BAU - Industry'!$AW$35)</f>
        <v>0</v>
      </c>
      <c r="AB5" s="179">
        <f>AA5*(1+'KEEI BAU - Industry'!$AW$35)</f>
        <v>0</v>
      </c>
      <c r="AC5" s="179">
        <f>AB5*(1+'KEEI BAU - Industry'!$AW$35)</f>
        <v>0</v>
      </c>
      <c r="AD5" s="179">
        <f>AC5*(1+'KEEI BAU - Industry'!$AW$35)</f>
        <v>0</v>
      </c>
      <c r="AE5" s="179">
        <f>AD5*(1+'KEEI BAU - Industry'!$AW$35)</f>
        <v>0</v>
      </c>
      <c r="AF5" s="179">
        <f>AE5*(1+'KEEI BAU - Industry'!$AW$35)</f>
        <v>0</v>
      </c>
    </row>
    <row r="6" spans="1:35">
      <c r="A6" s="4" t="s">
        <v>6</v>
      </c>
      <c r="B6" s="179">
        <f>'2019 KESIS Energy Balance'!BI55*(1+'KEEI BAU - Industry'!$AW$35)</f>
        <v>136.05075463216477</v>
      </c>
      <c r="C6" s="179">
        <f>B6*(1+'KEEI BAU - Industry'!$AW$35)</f>
        <v>138.14423449672361</v>
      </c>
      <c r="D6" s="179">
        <f>C6*(1+'KEEI BAU - Industry'!$AW$35)</f>
        <v>140.26992776542832</v>
      </c>
      <c r="E6" s="179">
        <f>D6*(1+'KEEI BAU - Industry'!$AW$35)</f>
        <v>142.42833012176942</v>
      </c>
      <c r="F6" s="179">
        <f>E6*(1+'KEEI BAU - Industry'!$AW$35)</f>
        <v>144.6199448765631</v>
      </c>
      <c r="G6" s="179">
        <f>F6*(1+'KEEI BAU - Industry'!$AW$35)</f>
        <v>146.84528308531654</v>
      </c>
      <c r="H6" s="179">
        <f>G6*(1+'KEEI BAU - Industry'!$AW$35)</f>
        <v>149.10486366739937</v>
      </c>
      <c r="I6" s="179">
        <f>H6*(1+'KEEI BAU - Industry'!$AW$35)</f>
        <v>151.39921352704872</v>
      </c>
      <c r="J6" s="179">
        <f>I6*(1+'KEEI BAU - Industry'!$AW$35)</f>
        <v>153.72886767623629</v>
      </c>
      <c r="K6" s="179">
        <f>J6*(1+'KEEI BAU - Industry'!$AW$35)</f>
        <v>156.09436935942614</v>
      </c>
      <c r="L6" s="179">
        <f>K6*(1+'KEEI BAU - Industry'!$AW$35)</f>
        <v>158.49627018025197</v>
      </c>
      <c r="M6" s="179">
        <f>L6*(1+'KEEI BAU - Industry'!$AW$35)</f>
        <v>160.9351302301439</v>
      </c>
      <c r="N6" s="179">
        <f>M6*(1+'KEEI BAU - Industry'!$AW$35)</f>
        <v>163.4115182189343</v>
      </c>
      <c r="O6" s="179">
        <f>N6*(1+'KEEI BAU - Industry'!$AW$35)</f>
        <v>165.92601160747338</v>
      </c>
      <c r="P6" s="179">
        <f>O6*(1+'KEEI BAU - Industry'!$AW$35)</f>
        <v>168.47919674228544</v>
      </c>
      <c r="Q6" s="179">
        <f>P6*(1+'KEEI BAU - Industry'!$AW$35)</f>
        <v>171.07166899229705</v>
      </c>
      <c r="R6" s="179">
        <f>Q6*(1+'KEEI BAU - Industry'!$AW$35)</f>
        <v>173.70403288766923</v>
      </c>
      <c r="S6" s="179">
        <f>R6*(1+'KEEI BAU - Industry'!$AW$35)</f>
        <v>176.37690226076592</v>
      </c>
      <c r="T6" s="179">
        <f>S6*(1+'KEEI BAU - Industry'!$AW$35)</f>
        <v>179.09090038929142</v>
      </c>
      <c r="U6" s="179">
        <f>T6*(1+'KEEI BAU - Industry'!$AW$35)</f>
        <v>181.84666014163062</v>
      </c>
      <c r="V6" s="179">
        <f>U6*(1+'KEEI BAU - Industry'!$AW$35)</f>
        <v>184.64482412442544</v>
      </c>
      <c r="W6" s="179">
        <f>V6*(1+'KEEI BAU - Industry'!$AW$35)</f>
        <v>187.48604483242221</v>
      </c>
      <c r="X6" s="179">
        <f>W6*(1+'KEEI BAU - Industry'!$AW$35)</f>
        <v>190.3709848006248</v>
      </c>
      <c r="Y6" s="179">
        <f>X6*(1+'KEEI BAU - Industry'!$AW$35)</f>
        <v>193.30031675878894</v>
      </c>
      <c r="Z6" s="179">
        <f>Y6*(1+'KEEI BAU - Industry'!$AW$35)</f>
        <v>196.27472378829395</v>
      </c>
      <c r="AA6" s="179">
        <f>Z6*(1+'KEEI BAU - Industry'!$AW$35)</f>
        <v>199.29489948142827</v>
      </c>
      <c r="AB6" s="179">
        <f>AA6*(1+'KEEI BAU - Industry'!$AW$35)</f>
        <v>202.3615481031259</v>
      </c>
      <c r="AC6" s="179">
        <f>AB6*(1+'KEEI BAU - Industry'!$AW$35)</f>
        <v>205.47538475519175</v>
      </c>
      <c r="AD6" s="179">
        <f>AC6*(1+'KEEI BAU - Industry'!$AW$35)</f>
        <v>208.63713554305383</v>
      </c>
      <c r="AE6" s="179">
        <f>AD6*(1+'KEEI BAU - Industry'!$AW$35)</f>
        <v>211.84753774508144</v>
      </c>
      <c r="AF6" s="179">
        <f>AE6*(1+'KEEI BAU - Industry'!$AW$35)</f>
        <v>215.10733998450871</v>
      </c>
    </row>
    <row r="7" spans="1:35">
      <c r="A7" s="4" t="s">
        <v>7</v>
      </c>
      <c r="B7" s="179">
        <f>'2019 KESIS Energy Balance'!BI56*(1+'KEEI BAU - Industry'!$AW$35)</f>
        <v>256.94075862500199</v>
      </c>
      <c r="C7" s="179">
        <f>B7*(1+'KEEI BAU - Industry'!$AW$35)</f>
        <v>260.89443242872488</v>
      </c>
      <c r="D7" s="179">
        <f>C7*(1+'KEEI BAU - Industry'!$AW$35)</f>
        <v>264.90894335548694</v>
      </c>
      <c r="E7" s="179">
        <f>D7*(1+'KEEI BAU - Industry'!$AW$35)</f>
        <v>268.98522753601702</v>
      </c>
      <c r="F7" s="179">
        <f>E7*(1+'KEEI BAU - Industry'!$AW$35)</f>
        <v>273.12423550574795</v>
      </c>
      <c r="G7" s="179">
        <f>F7*(1+'KEEI BAU - Industry'!$AW$35)</f>
        <v>277.32693242646855</v>
      </c>
      <c r="H7" s="179">
        <f>G7*(1+'KEEI BAU - Industry'!$AW$35)</f>
        <v>281.59429831138681</v>
      </c>
      <c r="I7" s="179">
        <f>H7*(1+'KEEI BAU - Industry'!$AW$35)</f>
        <v>285.92732825365584</v>
      </c>
      <c r="J7" s="179">
        <f>I7*(1+'KEEI BAU - Industry'!$AW$35)</f>
        <v>290.32703265841644</v>
      </c>
      <c r="K7" s="179">
        <f>J7*(1+'KEEI BAU - Industry'!$AW$35)</f>
        <v>294.79443747841015</v>
      </c>
      <c r="L7" s="179">
        <f>K7*(1+'KEEI BAU - Industry'!$AW$35)</f>
        <v>299.33058445321791</v>
      </c>
      <c r="M7" s="179">
        <f>L7*(1+'KEEI BAU - Industry'!$AW$35)</f>
        <v>303.93653135217983</v>
      </c>
      <c r="N7" s="179">
        <f>M7*(1+'KEEI BAU - Industry'!$AW$35)</f>
        <v>308.61335222105299</v>
      </c>
      <c r="O7" s="179">
        <f>N7*(1+'KEEI BAU - Industry'!$AW$35)</f>
        <v>313.36213763246474</v>
      </c>
      <c r="P7" s="179">
        <f>O7*(1+'KEEI BAU - Industry'!$AW$35)</f>
        <v>318.18399494021975</v>
      </c>
      <c r="Q7" s="179">
        <f>P7*(1+'KEEI BAU - Industry'!$AW$35)</f>
        <v>323.08004853752016</v>
      </c>
      <c r="R7" s="179">
        <f>Q7*(1+'KEEI BAU - Industry'!$AW$35)</f>
        <v>328.05144011915928</v>
      </c>
      <c r="S7" s="179">
        <f>R7*(1+'KEEI BAU - Industry'!$AW$35)</f>
        <v>333.09932894774965</v>
      </c>
      <c r="T7" s="179">
        <f>S7*(1+'KEEI BAU - Industry'!$AW$35)</f>
        <v>338.22489212404764</v>
      </c>
      <c r="U7" s="179">
        <f>T7*(1+'KEEI BAU - Industry'!$AW$35)</f>
        <v>343.42932486143786</v>
      </c>
      <c r="V7" s="179">
        <f>U7*(1+'KEEI BAU - Industry'!$AW$35)</f>
        <v>348.71384076464096</v>
      </c>
      <c r="W7" s="179">
        <f>V7*(1+'KEEI BAU - Industry'!$AW$35)</f>
        <v>354.07967211271028</v>
      </c>
      <c r="X7" s="179">
        <f>W7*(1+'KEEI BAU - Industry'!$AW$35)</f>
        <v>359.5280701463829</v>
      </c>
      <c r="Y7" s="179">
        <f>X7*(1+'KEEI BAU - Industry'!$AW$35)</f>
        <v>365.06030535985235</v>
      </c>
      <c r="Z7" s="179">
        <f>Y7*(1+'KEEI BAU - Industry'!$AW$35)</f>
        <v>370.67766779703118</v>
      </c>
      <c r="AA7" s="179">
        <f>Z7*(1+'KEEI BAU - Industry'!$AW$35)</f>
        <v>376.38146735237194</v>
      </c>
      <c r="AB7" s="179">
        <f>AA7*(1+'KEEI BAU - Industry'!$AW$35)</f>
        <v>382.17303407631732</v>
      </c>
      <c r="AC7" s="179">
        <f>AB7*(1+'KEEI BAU - Industry'!$AW$35)</f>
        <v>388.05371848545019</v>
      </c>
      <c r="AD7" s="179">
        <f>AC7*(1+'KEEI BAU - Industry'!$AW$35)</f>
        <v>394.02489187741622</v>
      </c>
      <c r="AE7" s="179">
        <f>AD7*(1+'KEEI BAU - Industry'!$AW$35)</f>
        <v>400.08794665069223</v>
      </c>
      <c r="AF7" s="179">
        <f>AE7*(1+'KEEI BAU - Industry'!$AW$35)</f>
        <v>406.2442966292752</v>
      </c>
    </row>
    <row r="8" spans="1:35">
      <c r="A8" s="4" t="s">
        <v>8</v>
      </c>
      <c r="B8" s="179">
        <f>'2019 KESIS Energy Balance'!BI57*(1+'KEEI BAU - Industry'!$AW$35)</f>
        <v>8.8765174528833288</v>
      </c>
      <c r="C8" s="179">
        <f>B8*(1+'KEEI BAU - Industry'!$AW$35)</f>
        <v>9.0131047919632046</v>
      </c>
      <c r="D8" s="179">
        <f>C8*(1+'KEEI BAU - Industry'!$AW$35)</f>
        <v>9.1517938675964015</v>
      </c>
      <c r="E8" s="179">
        <f>D8*(1+'KEEI BAU - Industry'!$AW$35)</f>
        <v>9.292617020236797</v>
      </c>
      <c r="F8" s="179">
        <f>E8*(1+'KEEI BAU - Industry'!$AW$35)</f>
        <v>9.4356070879767326</v>
      </c>
      <c r="G8" s="179">
        <f>F8*(1+'KEEI BAU - Industry'!$AW$35)</f>
        <v>9.5807974142044277</v>
      </c>
      <c r="H8" s="179">
        <f>G8*(1+'KEEI BAU - Industry'!$AW$35)</f>
        <v>9.7282218553792106</v>
      </c>
      <c r="I8" s="179">
        <f>H8*(1+'KEEI BAU - Industry'!$AW$35)</f>
        <v>9.8779147889264003</v>
      </c>
      <c r="J8" s="179">
        <f>I8*(1+'KEEI BAU - Industry'!$AW$35)</f>
        <v>10.029911121253663</v>
      </c>
      <c r="K8" s="179">
        <f>J8*(1+'KEEI BAU - Industry'!$AW$35)</f>
        <v>10.184246295890727</v>
      </c>
      <c r="L8" s="179">
        <f>K8*(1+'KEEI BAU - Industry'!$AW$35)</f>
        <v>10.340956301754339</v>
      </c>
      <c r="M8" s="179">
        <f>L8*(1+'KEEI BAU - Industry'!$AW$35)</f>
        <v>10.500077681540406</v>
      </c>
      <c r="N8" s="179">
        <f>M8*(1+'KEEI BAU - Industry'!$AW$35)</f>
        <v>10.661647540245268</v>
      </c>
      <c r="O8" s="179">
        <f>N8*(1+'KEEI BAU - Industry'!$AW$35)</f>
        <v>10.825703553818087</v>
      </c>
      <c r="P8" s="179">
        <f>O8*(1+'KEEI BAU - Industry'!$AW$35)</f>
        <v>10.992283977946387</v>
      </c>
      <c r="Q8" s="179">
        <f>P8*(1+'KEEI BAU - Industry'!$AW$35)</f>
        <v>11.161427656976766</v>
      </c>
      <c r="R8" s="179">
        <f>Q8*(1+'KEEI BAU - Industry'!$AW$35)</f>
        <v>11.333174032972883</v>
      </c>
      <c r="S8" s="179">
        <f>R8*(1+'KEEI BAU - Industry'!$AW$35)</f>
        <v>11.507563154912827</v>
      </c>
      <c r="T8" s="179">
        <f>S8*(1+'KEEI BAU - Industry'!$AW$35)</f>
        <v>11.684635688028008</v>
      </c>
      <c r="U8" s="179">
        <f>T8*(1+'KEEI BAU - Industry'!$AW$35)</f>
        <v>11.864432923285749</v>
      </c>
      <c r="V8" s="179">
        <f>U8*(1+'KEEI BAU - Industry'!$AW$35)</f>
        <v>12.04699678701779</v>
      </c>
      <c r="W8" s="179">
        <f>V8*(1+'KEEI BAU - Industry'!$AW$35)</f>
        <v>12.232369850696957</v>
      </c>
      <c r="X8" s="179">
        <f>W8*(1+'KEEI BAU - Industry'!$AW$35)</f>
        <v>12.420595340864262</v>
      </c>
      <c r="Y8" s="179">
        <f>X8*(1+'KEEI BAU - Industry'!$AW$35)</f>
        <v>12.61171714920876</v>
      </c>
      <c r="Z8" s="179">
        <f>Y8*(1+'KEEI BAU - Industry'!$AW$35)</f>
        <v>12.805779842802508</v>
      </c>
      <c r="AA8" s="179">
        <f>Z8*(1+'KEEI BAU - Industry'!$AW$35)</f>
        <v>13.002828674493021</v>
      </c>
      <c r="AB8" s="179">
        <f>AA8*(1+'KEEI BAU - Industry'!$AW$35)</f>
        <v>13.202909593455628</v>
      </c>
      <c r="AC8" s="179">
        <f>AB8*(1+'KEEI BAU - Industry'!$AW$35)</f>
        <v>13.406069255908214</v>
      </c>
      <c r="AD8" s="179">
        <f>AC8*(1+'KEEI BAU - Industry'!$AW$35)</f>
        <v>13.612355035990834</v>
      </c>
      <c r="AE8" s="179">
        <f>AD8*(1+'KEEI BAU - Industry'!$AW$35)</f>
        <v>13.821815036812733</v>
      </c>
      <c r="AF8" s="179">
        <f>AE8*(1+'KEEI BAU - Industry'!$AW$35)</f>
        <v>14.03449810166935</v>
      </c>
    </row>
    <row r="9" spans="1:35">
      <c r="A9" s="4" t="s">
        <v>9</v>
      </c>
      <c r="B9" s="179">
        <f>'2019 KESIS Energy Balance'!BI58*(1+'KEEI BAU - Industry'!$AW$35)</f>
        <v>259.40713484246407</v>
      </c>
      <c r="C9" s="179">
        <f>B9*(1+'KEEI BAU - Industry'!$AW$35)</f>
        <v>263.39875998988691</v>
      </c>
      <c r="D9" s="179">
        <f>C9*(1+'KEEI BAU - Industry'!$AW$35)</f>
        <v>267.45180623633701</v>
      </c>
      <c r="E9" s="179">
        <f>D9*(1+'KEEI BAU - Industry'!$AW$35)</f>
        <v>271.56721869846893</v>
      </c>
      <c r="F9" s="179">
        <f>E9*(1+'KEEI BAU - Industry'!$AW$35)</f>
        <v>275.74595703591206</v>
      </c>
      <c r="G9" s="179">
        <f>F9*(1+'KEEI BAU - Industry'!$AW$35)</f>
        <v>279.98899567505032</v>
      </c>
      <c r="H9" s="179">
        <f>G9*(1+'KEEI BAU - Industry'!$AW$35)</f>
        <v>284.29732403624558</v>
      </c>
      <c r="I9" s="179">
        <f>H9*(1+'KEEI BAU - Industry'!$AW$35)</f>
        <v>288.67194676455739</v>
      </c>
      <c r="J9" s="179">
        <f>I9*(1+'KEEI BAU - Industry'!$AW$35)</f>
        <v>293.11388396401287</v>
      </c>
      <c r="K9" s="179">
        <f>J9*(1+'KEEI BAU - Industry'!$AW$35)</f>
        <v>297.62417143548146</v>
      </c>
      <c r="L9" s="179">
        <f>K9*(1+'KEEI BAU - Industry'!$AW$35)</f>
        <v>302.2038609182099</v>
      </c>
      <c r="M9" s="179">
        <f>L9*(1+'KEEI BAU - Industry'!$AW$35)</f>
        <v>306.85402033507393</v>
      </c>
      <c r="N9" s="179">
        <f>M9*(1+'KEEI BAU - Industry'!$AW$35)</f>
        <v>311.57573404160371</v>
      </c>
      <c r="O9" s="179">
        <f>N9*(1+'KEEI BAU - Industry'!$AW$35)</f>
        <v>316.37010307884117</v>
      </c>
      <c r="P9" s="179">
        <f>O9*(1+'KEEI BAU - Industry'!$AW$35)</f>
        <v>321.23824543008823</v>
      </c>
      <c r="Q9" s="179">
        <f>P9*(1+'KEEI BAU - Industry'!$AW$35)</f>
        <v>326.18129628160563</v>
      </c>
      <c r="R9" s="179">
        <f>Q9*(1+'KEEI BAU - Industry'!$AW$35)</f>
        <v>331.20040828732328</v>
      </c>
      <c r="S9" s="179">
        <f>R9*(1+'KEEI BAU - Industry'!$AW$35)</f>
        <v>336.29675183762402</v>
      </c>
      <c r="T9" s="179">
        <f>S9*(1+'KEEI BAU - Industry'!$AW$35)</f>
        <v>341.47151533226298</v>
      </c>
      <c r="U9" s="179">
        <f>T9*(1+'KEEI BAU - Industry'!$AW$35)</f>
        <v>346.72590545748676</v>
      </c>
      <c r="V9" s="179">
        <f>U9*(1+'KEEI BAU - Industry'!$AW$35)</f>
        <v>352.06114746741662</v>
      </c>
      <c r="W9" s="179">
        <f>V9*(1+'KEEI BAU - Industry'!$AW$35)</f>
        <v>357.47848546976149</v>
      </c>
      <c r="X9" s="179">
        <f>W9*(1+'KEEI BAU - Industry'!$AW$35)</f>
        <v>362.97918271592738</v>
      </c>
      <c r="Y9" s="179">
        <f>X9*(1+'KEEI BAU - Industry'!$AW$35)</f>
        <v>368.56452189559093</v>
      </c>
      <c r="Z9" s="179">
        <f>Y9*(1+'KEEI BAU - Industry'!$AW$35)</f>
        <v>374.23580543580562</v>
      </c>
      <c r="AA9" s="179">
        <f>Z9*(1+'KEEI BAU - Industry'!$AW$35)</f>
        <v>379.99435580471038</v>
      </c>
      <c r="AB9" s="179">
        <f>AA9*(1+'KEEI BAU - Industry'!$AW$35)</f>
        <v>385.84151581991182</v>
      </c>
      <c r="AC9" s="179">
        <f>AB9*(1+'KEEI BAU - Industry'!$AW$35)</f>
        <v>391.77864896161134</v>
      </c>
      <c r="AD9" s="179">
        <f>AC9*(1+'KEEI BAU - Industry'!$AW$35)</f>
        <v>397.80713969055068</v>
      </c>
      <c r="AE9" s="179">
        <f>AD9*(1+'KEEI BAU - Industry'!$AW$35)</f>
        <v>403.92839377084982</v>
      </c>
      <c r="AF9" s="179">
        <f>AE9*(1+'KEEI BAU - Industry'!$AW$35)</f>
        <v>410.14383859781265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179">
        <f>'2019 KESIS Energy Balance'!BI59*(1+'KEEI BAU - Industry'!$AW$7)*'Petrochemicals Split'!$J$6</f>
        <v>1386.1483780153455</v>
      </c>
      <c r="C11" s="179">
        <f>B11*(1+'KEEI BAU - Industry'!$AW$7)</f>
        <v>1396.7538310744858</v>
      </c>
      <c r="D11" s="179">
        <f>C11*(1+'KEEI BAU - Industry'!$AW$7)</f>
        <v>1407.4404266984291</v>
      </c>
      <c r="E11" s="179">
        <f>D11*(1+'KEEI BAU - Industry'!$AW$7)</f>
        <v>1418.2087857108013</v>
      </c>
      <c r="F11" s="179">
        <f>E11*(1+'KEEI BAU - Industry'!$AW$7)</f>
        <v>1429.0595336851641</v>
      </c>
      <c r="G11" s="179">
        <f>F11*(1+'KEEI BAU - Industry'!$AW$7)</f>
        <v>1439.9933009813569</v>
      </c>
      <c r="H11" s="179">
        <f>G11*(1+'KEEI BAU - Industry'!$AW$7)</f>
        <v>1451.0107227821168</v>
      </c>
      <c r="I11" s="179">
        <f>H11*(1+'KEEI BAU - Industry'!$AW$7)</f>
        <v>1462.1124391299784</v>
      </c>
      <c r="J11" s="179">
        <f>I11*(1+'KEEI BAU - Industry'!$AW$7)</f>
        <v>1473.2990949644568</v>
      </c>
      <c r="K11" s="179">
        <f>J11*(1+'KEEI BAU - Industry'!$AW$7)</f>
        <v>1484.5713401595137</v>
      </c>
      <c r="L11" s="179">
        <f>K11*(1+'KEEI BAU - Industry'!$AW$7)</f>
        <v>1495.9298295613116</v>
      </c>
      <c r="M11" s="179">
        <f>L11*(1+'KEEI BAU - Industry'!$AW$7)</f>
        <v>1507.3752230262562</v>
      </c>
      <c r="N11" s="179">
        <f>M11*(1+'KEEI BAU - Industry'!$AW$7)</f>
        <v>1518.9081854593292</v>
      </c>
      <c r="O11" s="179">
        <f>N11*(1+'KEEI BAU - Industry'!$AW$7)</f>
        <v>1530.529386852716</v>
      </c>
      <c r="P11" s="179">
        <f>O11*(1+'KEEI BAU - Industry'!$AW$7)</f>
        <v>1542.2395023247275</v>
      </c>
      <c r="Q11" s="179">
        <f>P11*(1+'KEEI BAU - Industry'!$AW$7)</f>
        <v>1554.0392121590203</v>
      </c>
      <c r="R11" s="179">
        <f>Q11*(1+'KEEI BAU - Industry'!$AW$7)</f>
        <v>1565.929201844117</v>
      </c>
      <c r="S11" s="179">
        <f>R11*(1+'KEEI BAU - Industry'!$AW$7)</f>
        <v>1577.9101621132281</v>
      </c>
      <c r="T11" s="179">
        <f>S11*(1+'KEEI BAU - Industry'!$AW$7)</f>
        <v>1589.9827889843805</v>
      </c>
      <c r="U11" s="179">
        <f>T11*(1+'KEEI BAU - Industry'!$AW$7)</f>
        <v>1602.1477838008504</v>
      </c>
      <c r="V11" s="179">
        <f>U11*(1+'KEEI BAU - Industry'!$AW$7)</f>
        <v>1614.4058532719077</v>
      </c>
      <c r="W11" s="179">
        <f>V11*(1+'KEEI BAU - Industry'!$AW$7)</f>
        <v>1626.7577095138713</v>
      </c>
      <c r="X11" s="179">
        <f>W11*(1+'KEEI BAU - Industry'!$AW$7)</f>
        <v>1639.2040700914781</v>
      </c>
      <c r="Y11" s="179">
        <f>X11*(1+'KEEI BAU - Industry'!$AW$7)</f>
        <v>1651.7456580595697</v>
      </c>
      <c r="Z11" s="179">
        <f>Y11*(1+'KEEI BAU - Industry'!$AW$7)</f>
        <v>1664.3832020050963</v>
      </c>
      <c r="AA11" s="179">
        <f>Z11*(1+'KEEI BAU - Industry'!$AW$7)</f>
        <v>1677.1174360894443</v>
      </c>
      <c r="AB11" s="179">
        <f>AA11*(1+'KEEI BAU - Industry'!$AW$7)</f>
        <v>1689.949100091085</v>
      </c>
      <c r="AC11" s="179">
        <f>AB11*(1+'KEEI BAU - Industry'!$AW$7)</f>
        <v>1702.8789394485525</v>
      </c>
      <c r="AD11" s="179">
        <f>AC11*(1+'KEEI BAU - Industry'!$AW$7)</f>
        <v>1715.9077053037474</v>
      </c>
      <c r="AE11" s="179">
        <f>AD11*(1+'KEEI BAU - Industry'!$AW$7)</f>
        <v>1729.0361545455751</v>
      </c>
      <c r="AF11" s="179">
        <f>AE11*(1+'KEEI BAU - Industry'!$AW$7)</f>
        <v>1742.2650498539144</v>
      </c>
    </row>
    <row r="12" spans="1:35">
      <c r="A12" s="4" t="s">
        <v>12</v>
      </c>
      <c r="B12" s="179">
        <f>'2019 KESIS Energy Balance'!BI59*(1+'KEEI BAU - Industry'!$AW$7)*'Petrochemicals Split'!$J$7</f>
        <v>989.65593612199496</v>
      </c>
      <c r="C12" s="179">
        <f>B12*(1+'KEEI BAU - Industry'!$AW$7)</f>
        <v>997.22781640675123</v>
      </c>
      <c r="D12" s="179">
        <f>C12*(1+'KEEI BAU - Industry'!$AW$7)</f>
        <v>1004.8576293213782</v>
      </c>
      <c r="E12" s="179">
        <f>D12*(1+'KEEI BAU - Industry'!$AW$7)</f>
        <v>1012.5458181097569</v>
      </c>
      <c r="F12" s="179">
        <f>E12*(1+'KEEI BAU - Industry'!$AW$7)</f>
        <v>1020.2928294070373</v>
      </c>
      <c r="G12" s="179">
        <f>F12*(1+'KEEI BAU - Industry'!$AW$7)</f>
        <v>1028.0991132655854</v>
      </c>
      <c r="H12" s="179">
        <f>G12*(1+'KEEI BAU - Industry'!$AW$7)</f>
        <v>1035.9651231811279</v>
      </c>
      <c r="I12" s="179">
        <f>H12*(1+'KEEI BAU - Industry'!$AW$7)</f>
        <v>1043.8913161190981</v>
      </c>
      <c r="J12" s="179">
        <f>I12*(1+'KEEI BAU - Industry'!$AW$7)</f>
        <v>1051.8781525411819</v>
      </c>
      <c r="K12" s="179">
        <f>J12*(1+'KEEI BAU - Industry'!$AW$7)</f>
        <v>1059.9260964320683</v>
      </c>
      <c r="L12" s="179">
        <f>K12*(1+'KEEI BAU - Industry'!$AW$7)</f>
        <v>1068.035615326404</v>
      </c>
      <c r="M12" s="179">
        <f>L12*(1+'KEEI BAU - Industry'!$AW$7)</f>
        <v>1076.2071803359536</v>
      </c>
      <c r="N12" s="179">
        <f>M12*(1+'KEEI BAU - Industry'!$AW$7)</f>
        <v>1084.4412661769691</v>
      </c>
      <c r="O12" s="179">
        <f>N12*(1+'KEEI BAU - Industry'!$AW$7)</f>
        <v>1092.7383511977671</v>
      </c>
      <c r="P12" s="179">
        <f>O12*(1+'KEEI BAU - Industry'!$AW$7)</f>
        <v>1101.0989174065182</v>
      </c>
      <c r="Q12" s="179">
        <f>P12*(1+'KEEI BAU - Industry'!$AW$7)</f>
        <v>1109.5234504992488</v>
      </c>
      <c r="R12" s="179">
        <f>Q12*(1+'KEEI BAU - Industry'!$AW$7)</f>
        <v>1118.0124398880564</v>
      </c>
      <c r="S12" s="179">
        <f>R12*(1+'KEEI BAU - Industry'!$AW$7)</f>
        <v>1126.5663787295421</v>
      </c>
      <c r="T12" s="179">
        <f>S12*(1+'KEEI BAU - Industry'!$AW$7)</f>
        <v>1135.1857639534589</v>
      </c>
      <c r="U12" s="179">
        <f>T12*(1+'KEEI BAU - Industry'!$AW$7)</f>
        <v>1143.8710962915814</v>
      </c>
      <c r="V12" s="179">
        <f>U12*(1+'KEEI BAU - Industry'!$AW$7)</f>
        <v>1152.6228803067941</v>
      </c>
      <c r="W12" s="179">
        <f>V12*(1+'KEEI BAU - Industry'!$AW$7)</f>
        <v>1161.4416244224037</v>
      </c>
      <c r="X12" s="179">
        <f>W12*(1+'KEEI BAU - Industry'!$AW$7)</f>
        <v>1170.3278409516756</v>
      </c>
      <c r="Y12" s="179">
        <f>X12*(1+'KEEI BAU - Industry'!$AW$7)</f>
        <v>1179.2820461275955</v>
      </c>
      <c r="Z12" s="179">
        <f>Y12*(1+'KEEI BAU - Industry'!$AW$7)</f>
        <v>1188.3047601328597</v>
      </c>
      <c r="AA12" s="179">
        <f>Z12*(1+'KEEI BAU - Industry'!$AW$7)</f>
        <v>1197.3965071300938</v>
      </c>
      <c r="AB12" s="179">
        <f>AA12*(1+'KEEI BAU - Industry'!$AW$7)</f>
        <v>1206.5578152923042</v>
      </c>
      <c r="AC12" s="179">
        <f>AB12*(1+'KEEI BAU - Industry'!$AW$7)</f>
        <v>1215.7892168335609</v>
      </c>
      <c r="AD12" s="179">
        <f>AC12*(1+'KEEI BAU - Industry'!$AW$7)</f>
        <v>1225.0912480399161</v>
      </c>
      <c r="AE12" s="179">
        <f>AD12*(1+'KEEI BAU - Industry'!$AW$7)</f>
        <v>1234.4644493005585</v>
      </c>
      <c r="AF12" s="179">
        <f>AE12*(1+'KEEI BAU - Industry'!$AW$7)</f>
        <v>1243.9093651392072</v>
      </c>
    </row>
    <row r="13" spans="1:35">
      <c r="A13" s="4" t="s">
        <v>13</v>
      </c>
      <c r="B13" s="179">
        <f>'2019 KESIS Energy Balance'!BI60*'Others Split'!$J$12*(1+'KEEI BAU - Industry'!$AW$35)</f>
        <v>7.9252755017212131E-6</v>
      </c>
      <c r="C13" s="179">
        <f>B13*(1+'KEEI BAU - Industry'!$AW$35)</f>
        <v>8.0472256131248021E-6</v>
      </c>
      <c r="D13" s="179">
        <f>C13*(1+'KEEI BAU - Industry'!$AW$35)</f>
        <v>8.1710522308615936E-6</v>
      </c>
      <c r="E13" s="179">
        <f>D13*(1+'KEEI BAU - Industry'!$AW$35)</f>
        <v>8.2967842296573079E-6</v>
      </c>
      <c r="F13" s="179">
        <f>E13*(1+'KEEI BAU - Industry'!$AW$35)</f>
        <v>8.4244509285472716E-6</v>
      </c>
      <c r="G13" s="179">
        <f>F13*(1+'KEEI BAU - Industry'!$AW$35)</f>
        <v>8.5540820977132252E-6</v>
      </c>
      <c r="H13" s="179">
        <f>G13*(1+'KEEI BAU - Industry'!$AW$35)</f>
        <v>8.6857079654253339E-6</v>
      </c>
      <c r="I13" s="179">
        <f>H13*(1+'KEEI BAU - Industry'!$AW$35)</f>
        <v>8.8193592250910234E-6</v>
      </c>
      <c r="J13" s="179">
        <f>I13*(1+'KEEI BAU - Industry'!$AW$35)</f>
        <v>8.9550670424122693E-6</v>
      </c>
      <c r="K13" s="179">
        <f>J13*(1+'KEEI BAU - Industry'!$AW$35)</f>
        <v>9.0928630626530309E-6</v>
      </c>
      <c r="L13" s="179">
        <f>K13*(1+'KEEI BAU - Industry'!$AW$35)</f>
        <v>9.2327794180185064E-6</v>
      </c>
      <c r="M13" s="179">
        <f>L13*(1+'KEEI BAU - Industry'!$AW$35)</f>
        <v>9.374848735147935E-6</v>
      </c>
      <c r="N13" s="179">
        <f>M13*(1+'KEEI BAU - Industry'!$AW$35)</f>
        <v>9.5191041427226996E-6</v>
      </c>
      <c r="O13" s="179">
        <f>N13*(1+'KEEI BAU - Industry'!$AW$35)</f>
        <v>9.665579279191494E-6</v>
      </c>
      <c r="P13" s="179">
        <f>O13*(1+'KEEI BAU - Industry'!$AW$35)</f>
        <v>9.8143083006143617E-6</v>
      </c>
      <c r="Q13" s="179">
        <f>P13*(1+'KEEI BAU - Industry'!$AW$35)</f>
        <v>9.965325888627443E-6</v>
      </c>
      <c r="R13" s="179">
        <f>Q13*(1+'KEEI BAU - Industry'!$AW$35)</f>
        <v>1.0118667258530263E-5</v>
      </c>
      <c r="S13" s="179">
        <f>R13*(1+'KEEI BAU - Industry'!$AW$35)</f>
        <v>1.0274368167497481E-5</v>
      </c>
      <c r="T13" s="179">
        <f>S13*(1+'KEEI BAU - Industry'!$AW$35)</f>
        <v>1.0432464922916986E-5</v>
      </c>
      <c r="U13" s="179">
        <f>T13*(1+'KEEI BAU - Industry'!$AW$35)</f>
        <v>1.0592994390856298E-5</v>
      </c>
      <c r="V13" s="179">
        <f>U13*(1+'KEEI BAU - Industry'!$AW$35)</f>
        <v>1.0755994004659246E-5</v>
      </c>
      <c r="W13" s="179">
        <f>V13*(1+'KEEI BAU - Industry'!$AW$35)</f>
        <v>1.092150177367493E-5</v>
      </c>
      <c r="X13" s="179">
        <f>W13*(1+'KEEI BAU - Industry'!$AW$35)</f>
        <v>1.1089556292120995E-5</v>
      </c>
      <c r="Y13" s="179">
        <f>X13*(1+'KEEI BAU - Industry'!$AW$35)</f>
        <v>1.1260196748083292E-5</v>
      </c>
      <c r="Z13" s="179">
        <f>Y13*(1+'KEEI BAU - Industry'!$AW$35)</f>
        <v>1.143346293265402E-5</v>
      </c>
      <c r="AA13" s="179">
        <f>Z13*(1+'KEEI BAU - Industry'!$AW$35)</f>
        <v>1.160939524921048E-5</v>
      </c>
      <c r="AB13" s="179">
        <f>AA13*(1+'KEEI BAU - Industry'!$AW$35)</f>
        <v>1.1788034722836609E-5</v>
      </c>
      <c r="AC13" s="179">
        <f>AB13*(1+'KEEI BAU - Industry'!$AW$35)</f>
        <v>1.1969423009889481E-5</v>
      </c>
      <c r="AD13" s="179">
        <f>AC13*(1+'KEEI BAU - Industry'!$AW$35)</f>
        <v>1.2153602407713026E-5</v>
      </c>
      <c r="AE13" s="179">
        <f>AD13*(1+'KEEI BAU - Industry'!$AW$35)</f>
        <v>1.2340615864501204E-5</v>
      </c>
      <c r="AF13" s="179">
        <f>AE13*(1+'KEEI BAU - Industry'!$AW$35)</f>
        <v>1.2530506989312952E-5</v>
      </c>
    </row>
    <row r="14" spans="1:35">
      <c r="A14" s="4" t="s">
        <v>14</v>
      </c>
      <c r="B14" s="179">
        <f>'2019 KESIS Energy Balance'!BI60*'Others Split'!$J$13*(1+'KEEI BAU - Industry'!$AW$35)</f>
        <v>1.6590243383603068E-4</v>
      </c>
      <c r="C14" s="179">
        <f>B14*(1+'KEEI BAU - Industry'!$AW$35)</f>
        <v>1.6845525616807915E-4</v>
      </c>
      <c r="D14" s="179">
        <f>C14*(1+'KEEI BAU - Industry'!$AW$35)</f>
        <v>1.7104736003270264E-4</v>
      </c>
      <c r="E14" s="179">
        <f>D14*(1+'KEEI BAU - Industry'!$AW$35)</f>
        <v>1.7367934987415961E-4</v>
      </c>
      <c r="F14" s="179">
        <f>E14*(1+'KEEI BAU - Industry'!$AW$35)</f>
        <v>1.7635183943758953E-4</v>
      </c>
      <c r="G14" s="179">
        <f>F14*(1+'KEEI BAU - Industry'!$AW$35)</f>
        <v>1.7906545191213017E-4</v>
      </c>
      <c r="H14" s="179">
        <f>G14*(1+'KEEI BAU - Industry'!$AW$35)</f>
        <v>1.81820820076237E-4</v>
      </c>
      <c r="I14" s="179">
        <f>H14*(1+'KEEI BAU - Industry'!$AW$35)</f>
        <v>1.8461858644523875E-4</v>
      </c>
      <c r="J14" s="179">
        <f>I14*(1+'KEEI BAU - Industry'!$AW$35)</f>
        <v>1.8745940342116348E-4</v>
      </c>
      <c r="K14" s="179">
        <f>J14*(1+'KEEI BAU - Industry'!$AW$35)</f>
        <v>1.9034393344487008E-4</v>
      </c>
      <c r="L14" s="179">
        <f>K14*(1+'KEEI BAU - Industry'!$AW$35)</f>
        <v>1.9327284915052071E-4</v>
      </c>
      <c r="M14" s="179">
        <f>L14*(1+'KEEI BAU - Industry'!$AW$35)</f>
        <v>1.9624683352243008E-4</v>
      </c>
      <c r="N14" s="179">
        <f>M14*(1+'KEEI BAU - Industry'!$AW$35)</f>
        <v>1.9926658005432849E-4</v>
      </c>
      <c r="O14" s="179">
        <f>N14*(1+'KEEI BAU - Industry'!$AW$35)</f>
        <v>2.0233279291107523E-4</v>
      </c>
      <c r="P14" s="179">
        <f>O14*(1+'KEEI BAU - Industry'!$AW$35)</f>
        <v>2.0544618709286062E-4</v>
      </c>
      <c r="Q14" s="179">
        <f>P14*(1+'KEEI BAU - Industry'!$AW$35)</f>
        <v>2.0860748860193444E-4</v>
      </c>
      <c r="R14" s="179">
        <f>Q14*(1+'KEEI BAU - Industry'!$AW$35)</f>
        <v>2.1181743461190015E-4</v>
      </c>
      <c r="S14" s="179">
        <f>R14*(1+'KEEI BAU - Industry'!$AW$35)</f>
        <v>2.150767736396139E-4</v>
      </c>
      <c r="T14" s="179">
        <f>S14*(1+'KEEI BAU - Industry'!$AW$35)</f>
        <v>2.1838626571972887E-4</v>
      </c>
      <c r="U14" s="179">
        <f>T14*(1+'KEEI BAU - Industry'!$AW$35)</f>
        <v>2.2174668258192513E-4</v>
      </c>
      <c r="V14" s="179">
        <f>U14*(1+'KEEI BAU - Industry'!$AW$35)</f>
        <v>2.2515880783086686E-4</v>
      </c>
      <c r="W14" s="179">
        <f>V14*(1+'KEEI BAU - Industry'!$AW$35)</f>
        <v>2.2862343712892852E-4</v>
      </c>
      <c r="X14" s="179">
        <f>W14*(1+'KEEI BAU - Industry'!$AW$35)</f>
        <v>2.3214137838173282E-4</v>
      </c>
      <c r="Y14" s="179">
        <f>X14*(1+'KEEI BAU - Industry'!$AW$35)</f>
        <v>2.3571345192654358E-4</v>
      </c>
      <c r="Z14" s="179">
        <f>Y14*(1+'KEEI BAU - Industry'!$AW$35)</f>
        <v>2.3934049072355749E-4</v>
      </c>
      <c r="AA14" s="179">
        <f>Z14*(1+'KEEI BAU - Industry'!$AW$35)</f>
        <v>2.4302334055013937E-4</v>
      </c>
      <c r="AB14" s="179">
        <f>AA14*(1+'KEEI BAU - Industry'!$AW$35)</f>
        <v>2.4676286019804629E-4</v>
      </c>
      <c r="AC14" s="179">
        <f>AB14*(1+'KEEI BAU - Industry'!$AW$35)</f>
        <v>2.505599216736864E-4</v>
      </c>
      <c r="AD14" s="179">
        <f>AC14*(1+'KEEI BAU - Industry'!$AW$35)</f>
        <v>2.5441541040145926E-4</v>
      </c>
      <c r="AE14" s="179">
        <f>AD14*(1+'KEEI BAU - Industry'!$AW$35)</f>
        <v>2.5833022543022508E-4</v>
      </c>
      <c r="AF14" s="179">
        <f>AE14*(1+'KEEI BAU - Industry'!$AW$35)</f>
        <v>2.62305279642951E-4</v>
      </c>
    </row>
    <row r="15" spans="1:35">
      <c r="A15" s="4" t="s">
        <v>15</v>
      </c>
      <c r="B15" s="179">
        <f>'2019 KESIS Energy Balance'!BI61*(1+'KEEI BAU - Industry'!$AW$21)</f>
        <v>6.2244236817898804</v>
      </c>
      <c r="C15" s="179">
        <f>B15*(1+'KEEI BAU - Industry'!$AW$21)</f>
        <v>6.2449145987148116</v>
      </c>
      <c r="D15" s="179">
        <f>C15*(1+'KEEI BAU - Industry'!$AW$21)</f>
        <v>6.2654729721140914</v>
      </c>
      <c r="E15" s="179">
        <f>D15*(1+'KEEI BAU - Industry'!$AW$21)</f>
        <v>6.2860990240556704</v>
      </c>
      <c r="F15" s="179">
        <f>E15*(1+'KEEI BAU - Industry'!$AW$21)</f>
        <v>6.3067929773385512</v>
      </c>
      <c r="G15" s="179">
        <f>F15*(1+'KEEI BAU - Industry'!$AW$21)</f>
        <v>6.3275550554951945</v>
      </c>
      <c r="H15" s="179">
        <f>G15*(1+'KEEI BAU - Industry'!$AW$21)</f>
        <v>6.3483854827939341</v>
      </c>
      <c r="I15" s="179">
        <f>H15*(1+'KEEI BAU - Industry'!$AW$21)</f>
        <v>6.3692844842414003</v>
      </c>
      <c r="J15" s="179">
        <f>I15*(1+'KEEI BAU - Industry'!$AW$21)</f>
        <v>6.390252285584948</v>
      </c>
      <c r="K15" s="179">
        <f>J15*(1+'KEEI BAU - Industry'!$AW$21)</f>
        <v>6.4112891133150969</v>
      </c>
      <c r="L15" s="179">
        <f>K15*(1+'KEEI BAU - Industry'!$AW$21)</f>
        <v>6.4323951946679774</v>
      </c>
      <c r="M15" s="179">
        <f>L15*(1+'KEEI BAU - Industry'!$AW$21)</f>
        <v>6.4535707576277863</v>
      </c>
      <c r="N15" s="179">
        <f>M15*(1+'KEEI BAU - Industry'!$AW$21)</f>
        <v>6.4748160309292482</v>
      </c>
      <c r="O15" s="179">
        <f>N15*(1+'KEEI BAU - Industry'!$AW$21)</f>
        <v>6.496131244060086</v>
      </c>
      <c r="P15" s="179">
        <f>O15*(1+'KEEI BAU - Industry'!$AW$21)</f>
        <v>6.5175166272635003</v>
      </c>
      <c r="Q15" s="179">
        <f>P15*(1+'KEEI BAU - Industry'!$AW$21)</f>
        <v>6.5389724115406578</v>
      </c>
      <c r="R15" s="179">
        <f>Q15*(1+'KEEI BAU - Industry'!$AW$21)</f>
        <v>6.5604988286531842</v>
      </c>
      <c r="S15" s="179">
        <f>R15*(1+'KEEI BAU - Industry'!$AW$21)</f>
        <v>6.5820961111256695</v>
      </c>
      <c r="T15" s="179">
        <f>S15*(1+'KEEI BAU - Industry'!$AW$21)</f>
        <v>6.6037644922481773</v>
      </c>
      <c r="U15" s="179">
        <f>T15*(1+'KEEI BAU - Industry'!$AW$21)</f>
        <v>6.6255042060787686</v>
      </c>
      <c r="V15" s="179">
        <f>U15*(1+'KEEI BAU - Industry'!$AW$21)</f>
        <v>6.6473154874460265</v>
      </c>
      <c r="W15" s="179">
        <f>V15*(1+'KEEI BAU - Industry'!$AW$21)</f>
        <v>6.6691985719515943</v>
      </c>
      <c r="X15" s="179">
        <f>W15*(1+'KEEI BAU - Industry'!$AW$21)</f>
        <v>6.6911536959727203</v>
      </c>
      <c r="Y15" s="179">
        <f>X15*(1+'KEEI BAU - Industry'!$AW$21)</f>
        <v>6.7131810966648109</v>
      </c>
      <c r="Z15" s="179">
        <f>Y15*(1+'KEEI BAU - Industry'!$AW$21)</f>
        <v>6.7352810119639921</v>
      </c>
      <c r="AA15" s="179">
        <f>Z15*(1+'KEEI BAU - Industry'!$AW$21)</f>
        <v>6.7574536805896814</v>
      </c>
      <c r="AB15" s="179">
        <f>AA15*(1+'KEEI BAU - Industry'!$AW$21)</f>
        <v>6.7796993420471638</v>
      </c>
      <c r="AC15" s="179">
        <f>AB15*(1+'KEEI BAU - Industry'!$AW$21)</f>
        <v>6.8020182366301798</v>
      </c>
      <c r="AD15" s="179">
        <f>AC15*(1+'KEEI BAU - Industry'!$AW$21)</f>
        <v>6.8244106054235223</v>
      </c>
      <c r="AE15" s="179">
        <f>AD15*(1+'KEEI BAU - Industry'!$AW$21)</f>
        <v>6.8468766903056393</v>
      </c>
      <c r="AF15" s="179">
        <f>AE15*(1+'KEEI BAU - Industry'!$AW$21)</f>
        <v>6.8694167339512475</v>
      </c>
    </row>
    <row r="16" spans="1:35">
      <c r="A16" s="4" t="s">
        <v>16</v>
      </c>
      <c r="B16" s="179">
        <f>'2019 KESIS Energy Balance'!BI62*'Non-ferrous Metals Split'!$J$6*(1+'KEEI BAU - Industry'!$AW$14)</f>
        <v>2.3136604185399214</v>
      </c>
      <c r="C16" s="179">
        <f>B16*(1+'KEEI BAU - Industry'!$AW$14)</f>
        <v>2.3104849236533194</v>
      </c>
      <c r="D16" s="179">
        <f>C16*(1+'KEEI BAU - Industry'!$AW$14)</f>
        <v>2.3073137871279075</v>
      </c>
      <c r="E16" s="179">
        <f>D16*(1+'KEEI BAU - Industry'!$AW$14)</f>
        <v>2.3041470029818423</v>
      </c>
      <c r="F16" s="179">
        <f>E16*(1+'KEEI BAU - Industry'!$AW$14)</f>
        <v>2.3009845652414906</v>
      </c>
      <c r="G16" s="179">
        <f>F16*(1+'KEEI BAU - Industry'!$AW$14)</f>
        <v>2.2978264679414186</v>
      </c>
      <c r="H16" s="179">
        <f>G16*(1+'KEEI BAU - Industry'!$AW$14)</f>
        <v>2.2946727051243796</v>
      </c>
      <c r="I16" s="179">
        <f>H16*(1+'KEEI BAU - Industry'!$AW$14)</f>
        <v>2.2915232708413029</v>
      </c>
      <c r="J16" s="179">
        <f>I16*(1+'KEEI BAU - Industry'!$AW$14)</f>
        <v>2.2883781591512831</v>
      </c>
      <c r="K16" s="179">
        <f>J16*(1+'KEEI BAU - Industry'!$AW$14)</f>
        <v>2.2852373641215689</v>
      </c>
      <c r="L16" s="179">
        <f>K16*(1+'KEEI BAU - Industry'!$AW$14)</f>
        <v>2.2821008798275515</v>
      </c>
      <c r="M16" s="179">
        <f>L16*(1+'KEEI BAU - Industry'!$AW$14)</f>
        <v>2.2789687003527539</v>
      </c>
      <c r="N16" s="179">
        <f>M16*(1+'KEEI BAU - Industry'!$AW$14)</f>
        <v>2.2758408197888191</v>
      </c>
      <c r="O16" s="179">
        <f>N16*(1+'KEEI BAU - Industry'!$AW$14)</f>
        <v>2.2727172322354994</v>
      </c>
      <c r="P16" s="179">
        <f>O16*(1+'KEEI BAU - Industry'!$AW$14)</f>
        <v>2.2695979318006452</v>
      </c>
      <c r="Q16" s="179">
        <f>P16*(1+'KEEI BAU - Industry'!$AW$14)</f>
        <v>2.266482912600194</v>
      </c>
      <c r="R16" s="179">
        <f>Q16*(1+'KEEI BAU - Industry'!$AW$14)</f>
        <v>2.2633721687581594</v>
      </c>
      <c r="S16" s="179">
        <f>R16*(1+'KEEI BAU - Industry'!$AW$14)</f>
        <v>2.2602656944066188</v>
      </c>
      <c r="T16" s="179">
        <f>S16*(1+'KEEI BAU - Industry'!$AW$14)</f>
        <v>2.2571634836857042</v>
      </c>
      <c r="U16" s="179">
        <f>T16*(1+'KEEI BAU - Industry'!$AW$14)</f>
        <v>2.2540655307435902</v>
      </c>
      <c r="V16" s="179">
        <f>U16*(1+'KEEI BAU - Industry'!$AW$14)</f>
        <v>2.2509718297364825</v>
      </c>
      <c r="W16" s="179">
        <f>V16*(1+'KEEI BAU - Industry'!$AW$14)</f>
        <v>2.2478823748286079</v>
      </c>
      <c r="X16" s="179">
        <f>W16*(1+'KEEI BAU - Industry'!$AW$14)</f>
        <v>2.2447971601922028</v>
      </c>
      <c r="Y16" s="179">
        <f>X16*(1+'KEEI BAU - Industry'!$AW$14)</f>
        <v>2.2417161800075016</v>
      </c>
      <c r="Z16" s="179">
        <f>Y16*(1+'KEEI BAU - Industry'!$AW$14)</f>
        <v>2.2386394284627271</v>
      </c>
      <c r="AA16" s="179">
        <f>Z16*(1+'KEEI BAU - Industry'!$AW$14)</f>
        <v>2.2355668997540779</v>
      </c>
      <c r="AB16" s="179">
        <f>AA16*(1+'KEEI BAU - Industry'!$AW$14)</f>
        <v>2.2324985880857193</v>
      </c>
      <c r="AC16" s="179">
        <f>AB16*(1+'KEEI BAU - Industry'!$AW$14)</f>
        <v>2.2294344876697707</v>
      </c>
      <c r="AD16" s="179">
        <f>AC16*(1+'KEEI BAU - Industry'!$AW$14)</f>
        <v>2.2263745927262955</v>
      </c>
      <c r="AE16" s="179">
        <f>AD16*(1+'KEEI BAU - Industry'!$AW$14)</f>
        <v>2.2233188974832898</v>
      </c>
      <c r="AF16" s="179">
        <f>AE16*(1+'KEEI BAU - Industry'!$AW$14)</f>
        <v>2.2202673961766721</v>
      </c>
    </row>
    <row r="17" spans="1:32">
      <c r="A17" s="4" t="s">
        <v>17</v>
      </c>
      <c r="B17" s="179">
        <f>'2019 KESIS Energy Balance'!BI62*'Non-ferrous Metals Split'!$J$7*(1+'KEEI BAU - Industry'!$AW$14)</f>
        <v>1.6059525258100631</v>
      </c>
      <c r="C17" s="179">
        <f>B17*(1+'KEEI BAU - Industry'!$AW$14)</f>
        <v>1.6037483587711276</v>
      </c>
      <c r="D17" s="179">
        <f>C17*(1+'KEEI BAU - Industry'!$AW$14)</f>
        <v>1.6015472169476064</v>
      </c>
      <c r="E17" s="179">
        <f>D17*(1+'KEEI BAU - Industry'!$AW$14)</f>
        <v>1.5993490961873964</v>
      </c>
      <c r="F17" s="179">
        <f>E17*(1+'KEEI BAU - Industry'!$AW$14)</f>
        <v>1.5971539923440936</v>
      </c>
      <c r="G17" s="179">
        <f>F17*(1+'KEEI BAU - Industry'!$AW$14)</f>
        <v>1.5949619012769849</v>
      </c>
      <c r="H17" s="179">
        <f>G17*(1+'KEEI BAU - Industry'!$AW$14)</f>
        <v>1.5927728188510399</v>
      </c>
      <c r="I17" s="179">
        <f>H17*(1+'KEEI BAU - Industry'!$AW$14)</f>
        <v>1.5905867409369043</v>
      </c>
      <c r="J17" s="179">
        <f>I17*(1+'KEEI BAU - Industry'!$AW$14)</f>
        <v>1.5884036634108907</v>
      </c>
      <c r="K17" s="179">
        <f>J17*(1+'KEEI BAU - Industry'!$AW$14)</f>
        <v>1.5862235821549715</v>
      </c>
      <c r="L17" s="179">
        <f>K17*(1+'KEEI BAU - Industry'!$AW$14)</f>
        <v>1.5840464930567713</v>
      </c>
      <c r="M17" s="179">
        <f>L17*(1+'KEEI BAU - Industry'!$AW$14)</f>
        <v>1.5818723920095588</v>
      </c>
      <c r="N17" s="179">
        <f>M17*(1+'KEEI BAU - Industry'!$AW$14)</f>
        <v>1.5797012749122394</v>
      </c>
      <c r="O17" s="179">
        <f>N17*(1+'KEEI BAU - Industry'!$AW$14)</f>
        <v>1.5775331376693471</v>
      </c>
      <c r="P17" s="179">
        <f>O17*(1+'KEEI BAU - Industry'!$AW$14)</f>
        <v>1.5753679761910366</v>
      </c>
      <c r="Q17" s="179">
        <f>P17*(1+'KEEI BAU - Industry'!$AW$14)</f>
        <v>1.5732057863930766</v>
      </c>
      <c r="R17" s="179">
        <f>Q17*(1+'KEEI BAU - Industry'!$AW$14)</f>
        <v>1.5710465641968407</v>
      </c>
      <c r="S17" s="179">
        <f>R17*(1+'KEEI BAU - Industry'!$AW$14)</f>
        <v>1.5688903055293009</v>
      </c>
      <c r="T17" s="179">
        <f>S17*(1+'KEEI BAU - Industry'!$AW$14)</f>
        <v>1.566737006323019</v>
      </c>
      <c r="U17" s="179">
        <f>T17*(1+'KEEI BAU - Industry'!$AW$14)</f>
        <v>1.5645866625161398</v>
      </c>
      <c r="V17" s="179">
        <f>U17*(1+'KEEI BAU - Industry'!$AW$14)</f>
        <v>1.5624392700523826</v>
      </c>
      <c r="W17" s="179">
        <f>V17*(1+'KEEI BAU - Industry'!$AW$14)</f>
        <v>1.5602948248810344</v>
      </c>
      <c r="X17" s="179">
        <f>W17*(1+'KEEI BAU - Industry'!$AW$14)</f>
        <v>1.5581533229569413</v>
      </c>
      <c r="Y17" s="179">
        <f>X17*(1+'KEEI BAU - Industry'!$AW$14)</f>
        <v>1.5560147602405017</v>
      </c>
      <c r="Z17" s="179">
        <f>Y17*(1+'KEEI BAU - Industry'!$AW$14)</f>
        <v>1.553879132697658</v>
      </c>
      <c r="AA17" s="179">
        <f>Z17*(1+'KEEI BAU - Industry'!$AW$14)</f>
        <v>1.5517464362998898</v>
      </c>
      <c r="AB17" s="179">
        <f>AA17*(1+'KEEI BAU - Industry'!$AW$14)</f>
        <v>1.5496166670242055</v>
      </c>
      <c r="AC17" s="179">
        <f>AB17*(1+'KEEI BAU - Industry'!$AW$14)</f>
        <v>1.5474898208531351</v>
      </c>
      <c r="AD17" s="179">
        <f>AC17*(1+'KEEI BAU - Industry'!$AW$14)</f>
        <v>1.5453658937747228</v>
      </c>
      <c r="AE17" s="179">
        <f>AD17*(1+'KEEI BAU - Industry'!$AW$14)</f>
        <v>1.5432448817825188</v>
      </c>
      <c r="AF17" s="179">
        <f>AE17*(1+'KEEI BAU - Industry'!$AW$14)</f>
        <v>1.5411267808755726</v>
      </c>
    </row>
    <row r="18" spans="1:32">
      <c r="A18" s="4" t="s">
        <v>18</v>
      </c>
      <c r="B18" s="179">
        <f>SUM('2019 KESIS Energy Balance'!$BI$63:$BI$64)*'Machinery Split'!$J6*(1+'KEEI BAU - Industry'!$AW$28)</f>
        <v>285.88150584649742</v>
      </c>
      <c r="C18" s="179">
        <f>B18*(1+'KEEI BAU - Industry'!$AW$28)</f>
        <v>289.53683741723381</v>
      </c>
      <c r="D18" s="179">
        <f>C18*(1+'KEEI BAU - Industry'!$AW$28)</f>
        <v>293.23890670488709</v>
      </c>
      <c r="E18" s="179">
        <f>D18*(1+'KEEI BAU - Industry'!$AW$28)</f>
        <v>296.98831130618413</v>
      </c>
      <c r="F18" s="179">
        <f>E18*(1+'KEEI BAU - Industry'!$AW$28)</f>
        <v>300.78565645882958</v>
      </c>
      <c r="G18" s="179">
        <f>F18*(1+'KEEI BAU - Industry'!$AW$28)</f>
        <v>304.63155513920447</v>
      </c>
      <c r="H18" s="179">
        <f>G18*(1+'KEEI BAU - Industry'!$AW$28)</f>
        <v>308.52662816131442</v>
      </c>
      <c r="I18" s="179">
        <f>H18*(1+'KEEI BAU - Industry'!$AW$28)</f>
        <v>312.47150427700285</v>
      </c>
      <c r="J18" s="179">
        <f>I18*(1+'KEEI BAU - Industry'!$AW$28)</f>
        <v>316.46682027744572</v>
      </c>
      <c r="K18" s="179">
        <f>J18*(1+'KEEI BAU - Industry'!$AW$28)</f>
        <v>320.51322109594372</v>
      </c>
      <c r="L18" s="179">
        <f>K18*(1+'KEEI BAU - Industry'!$AW$28)</f>
        <v>324.61135991202889</v>
      </c>
      <c r="M18" s="179">
        <f>L18*(1+'KEEI BAU - Industry'!$AW$28)</f>
        <v>328.76189825690255</v>
      </c>
      <c r="N18" s="179">
        <f>M18*(1+'KEEI BAU - Industry'!$AW$28)</f>
        <v>332.96550612022105</v>
      </c>
      <c r="O18" s="179">
        <f>N18*(1+'KEEI BAU - Industry'!$AW$28)</f>
        <v>337.22286205824724</v>
      </c>
      <c r="P18" s="179">
        <f>O18*(1+'KEEI BAU - Industry'!$AW$28)</f>
        <v>341.53465330338452</v>
      </c>
      <c r="Q18" s="179">
        <f>P18*(1+'KEEI BAU - Industry'!$AW$28)</f>
        <v>345.90157587511146</v>
      </c>
      <c r="R18" s="179">
        <f>Q18*(1+'KEEI BAU - Industry'!$AW$28)</f>
        <v>350.32433469233507</v>
      </c>
      <c r="S18" s="179">
        <f>R18*(1+'KEEI BAU - Industry'!$AW$28)</f>
        <v>354.80364368718028</v>
      </c>
      <c r="T18" s="179">
        <f>S18*(1+'KEEI BAU - Industry'!$AW$28)</f>
        <v>359.34022592023467</v>
      </c>
      <c r="U18" s="179">
        <f>T18*(1+'KEEI BAU - Industry'!$AW$28)</f>
        <v>363.93481369726652</v>
      </c>
      <c r="V18" s="179">
        <f>U18*(1+'KEEI BAU - Industry'!$AW$28)</f>
        <v>368.58814868743542</v>
      </c>
      <c r="W18" s="179">
        <f>V18*(1+'KEEI BAU - Industry'!$AW$28)</f>
        <v>373.30098204301419</v>
      </c>
      <c r="X18" s="179">
        <f>W18*(1+'KEEI BAU - Industry'!$AW$28)</f>
        <v>378.07407452064166</v>
      </c>
      <c r="Y18" s="179">
        <f>X18*(1+'KEEI BAU - Industry'!$AW$28)</f>
        <v>382.90819660412575</v>
      </c>
      <c r="Z18" s="179">
        <f>Y18*(1+'KEEI BAU - Industry'!$AW$28)</f>
        <v>387.8041286288169</v>
      </c>
      <c r="AA18" s="179">
        <f>Z18*(1+'KEEI BAU - Industry'!$AW$28)</f>
        <v>392.7626609075715</v>
      </c>
      <c r="AB18" s="179">
        <f>AA18*(1+'KEEI BAU - Industry'!$AW$28)</f>
        <v>397.7845938583261</v>
      </c>
      <c r="AC18" s="179">
        <f>AB18*(1+'KEEI BAU - Industry'!$AW$28)</f>
        <v>402.87073813330284</v>
      </c>
      <c r="AD18" s="179">
        <f>AC18*(1+'KEEI BAU - Industry'!$AW$28)</f>
        <v>408.02191474986665</v>
      </c>
      <c r="AE18" s="179">
        <f>AD18*(1+'KEEI BAU - Industry'!$AW$28)</f>
        <v>413.238955223056</v>
      </c>
      <c r="AF18" s="179">
        <f>AE18*(1+'KEEI BAU - Industry'!$AW$28)</f>
        <v>418.5227016998079</v>
      </c>
    </row>
    <row r="19" spans="1:32">
      <c r="A19" s="4" t="s">
        <v>19</v>
      </c>
      <c r="B19" s="179">
        <f>SUM('2019 KESIS Energy Balance'!$BI$63:$BI$64)*'Machinery Split'!$J7*(1+'KEEI BAU - Industry'!$AW$28)</f>
        <v>58.278874470084887</v>
      </c>
      <c r="C19" s="179">
        <f>B19*(1+'KEEI BAU - Industry'!$AW$28)</f>
        <v>59.024038481750154</v>
      </c>
      <c r="D19" s="179">
        <f>C19*(1+'KEEI BAU - Industry'!$AW$28)</f>
        <v>59.778730292456324</v>
      </c>
      <c r="E19" s="179">
        <f>D19*(1+'KEEI BAU - Industry'!$AW$28)</f>
        <v>60.543071726329558</v>
      </c>
      <c r="F19" s="179">
        <f>E19*(1+'KEEI BAU - Industry'!$AW$28)</f>
        <v>61.317186165160862</v>
      </c>
      <c r="G19" s="179">
        <f>F19*(1+'KEEI BAU - Industry'!$AW$28)</f>
        <v>62.10119856832268</v>
      </c>
      <c r="H19" s="179">
        <f>G19*(1+'KEEI BAU - Industry'!$AW$28)</f>
        <v>62.895235492940131</v>
      </c>
      <c r="I19" s="179">
        <f>H19*(1+'KEEI BAU - Industry'!$AW$28)</f>
        <v>63.699425114320142</v>
      </c>
      <c r="J19" s="179">
        <f>I19*(1+'KEEI BAU - Industry'!$AW$28)</f>
        <v>64.513897246641832</v>
      </c>
      <c r="K19" s="179">
        <f>J19*(1+'KEEI BAU - Industry'!$AW$28)</f>
        <v>65.338783363911389</v>
      </c>
      <c r="L19" s="179">
        <f>K19*(1+'KEEI BAU - Industry'!$AW$28)</f>
        <v>66.174216621184954</v>
      </c>
      <c r="M19" s="179">
        <f>L19*(1+'KEEI BAU - Industry'!$AW$28)</f>
        <v>67.020331876062784</v>
      </c>
      <c r="N19" s="179">
        <f>M19*(1+'KEEI BAU - Industry'!$AW$28)</f>
        <v>67.877265710458289</v>
      </c>
      <c r="O19" s="179">
        <f>N19*(1+'KEEI BAU - Industry'!$AW$28)</f>
        <v>68.745156452645446</v>
      </c>
      <c r="P19" s="179">
        <f>O19*(1+'KEEI BAU - Industry'!$AW$28)</f>
        <v>69.624144199588031</v>
      </c>
      <c r="Q19" s="179">
        <f>P19*(1+'KEEI BAU - Industry'!$AW$28)</f>
        <v>70.514370839554417</v>
      </c>
      <c r="R19" s="179">
        <f>Q19*(1+'KEEI BAU - Industry'!$AW$28)</f>
        <v>71.415980075021494</v>
      </c>
      <c r="S19" s="179">
        <f>R19*(1+'KEEI BAU - Industry'!$AW$28)</f>
        <v>72.329117445871489</v>
      </c>
      <c r="T19" s="179">
        <f>S19*(1+'KEEI BAU - Industry'!$AW$28)</f>
        <v>73.253930352885334</v>
      </c>
      <c r="U19" s="179">
        <f>T19*(1+'KEEI BAU - Industry'!$AW$28)</f>
        <v>74.190568081536455</v>
      </c>
      <c r="V19" s="179">
        <f>U19*(1+'KEEI BAU - Industry'!$AW$28)</f>
        <v>75.139181826088787</v>
      </c>
      <c r="W19" s="179">
        <f>V19*(1+'KEEI BAU - Industry'!$AW$28)</f>
        <v>76.09992471400291</v>
      </c>
      <c r="X19" s="179">
        <f>W19*(1+'KEEI BAU - Industry'!$AW$28)</f>
        <v>77.072951830654233</v>
      </c>
      <c r="Y19" s="179">
        <f>X19*(1+'KEEI BAU - Industry'!$AW$28)</f>
        <v>78.058420244367241</v>
      </c>
      <c r="Z19" s="179">
        <f>Y19*(1+'KEEI BAU - Industry'!$AW$28)</f>
        <v>79.056489031769843</v>
      </c>
      <c r="AA19" s="179">
        <f>Z19*(1+'KEEI BAU - Industry'!$AW$28)</f>
        <v>80.067319303471876</v>
      </c>
      <c r="AB19" s="179">
        <f>AA19*(1+'KEEI BAU - Industry'!$AW$28)</f>
        <v>81.091074230071996</v>
      </c>
      <c r="AC19" s="179">
        <f>AB19*(1+'KEEI BAU - Industry'!$AW$28)</f>
        <v>82.127919068497008</v>
      </c>
      <c r="AD19" s="179">
        <f>AC19*(1+'KEEI BAU - Industry'!$AW$28)</f>
        <v>83.178021188678059</v>
      </c>
      <c r="AE19" s="179">
        <f>AD19*(1+'KEEI BAU - Industry'!$AW$28)</f>
        <v>84.241550100567906</v>
      </c>
      <c r="AF19" s="179">
        <f>AE19*(1+'KEEI BAU - Industry'!$AW$28)</f>
        <v>85.318677481503556</v>
      </c>
    </row>
    <row r="20" spans="1:32">
      <c r="A20" s="4" t="s">
        <v>20</v>
      </c>
      <c r="B20" s="179">
        <f>SUM('2019 KESIS Energy Balance'!$BI$63:$BI$64)*'Machinery Split'!$J8*(1+'KEEI BAU - Industry'!$AW$28)</f>
        <v>2.5595451625375119</v>
      </c>
      <c r="C20" s="179">
        <f>B20*(1+'KEEI BAU - Industry'!$AW$28)</f>
        <v>2.5922719603471349</v>
      </c>
      <c r="D20" s="179">
        <f>C20*(1+'KEEI BAU - Industry'!$AW$28)</f>
        <v>2.6254172087903114</v>
      </c>
      <c r="E20" s="179">
        <f>D20*(1+'KEEI BAU - Industry'!$AW$28)</f>
        <v>2.6589862582509602</v>
      </c>
      <c r="F20" s="179">
        <f>E20*(1+'KEEI BAU - Industry'!$AW$28)</f>
        <v>2.6929845275239566</v>
      </c>
      <c r="G20" s="179">
        <f>F20*(1+'KEEI BAU - Industry'!$AW$28)</f>
        <v>2.7274175046898472</v>
      </c>
      <c r="H20" s="179">
        <f>G20*(1+'KEEI BAU - Industry'!$AW$28)</f>
        <v>2.7622907480007486</v>
      </c>
      <c r="I20" s="179">
        <f>H20*(1+'KEEI BAU - Industry'!$AW$28)</f>
        <v>2.7976098867775736</v>
      </c>
      <c r="J20" s="179">
        <f>I20*(1+'KEEI BAU - Industry'!$AW$28)</f>
        <v>2.833380622318729</v>
      </c>
      <c r="K20" s="179">
        <f>J20*(1+'KEEI BAU - Industry'!$AW$28)</f>
        <v>2.8696087288204328</v>
      </c>
      <c r="L20" s="179">
        <f>K20*(1+'KEEI BAU - Industry'!$AW$28)</f>
        <v>2.9063000543087987</v>
      </c>
      <c r="M20" s="179">
        <f>L20*(1+'KEEI BAU - Industry'!$AW$28)</f>
        <v>2.9434605215838383</v>
      </c>
      <c r="N20" s="179">
        <f>M20*(1+'KEEI BAU - Industry'!$AW$28)</f>
        <v>2.9810961291755329</v>
      </c>
      <c r="O20" s="179">
        <f>N20*(1+'KEEI BAU - Industry'!$AW$28)</f>
        <v>3.0192129523121314</v>
      </c>
      <c r="P20" s="179">
        <f>O20*(1+'KEEI BAU - Industry'!$AW$28)</f>
        <v>3.0578171439008259</v>
      </c>
      <c r="Q20" s="179">
        <f>P20*(1+'KEEI BAU - Industry'!$AW$28)</f>
        <v>3.0969149355209709</v>
      </c>
      <c r="R20" s="179">
        <f>Q20*(1+'KEEI BAU - Industry'!$AW$28)</f>
        <v>3.1365126384299975</v>
      </c>
      <c r="S20" s="179">
        <f>R20*(1+'KEEI BAU - Industry'!$AW$28)</f>
        <v>3.1766166445821931</v>
      </c>
      <c r="T20" s="179">
        <f>S20*(1+'KEEI BAU - Industry'!$AW$28)</f>
        <v>3.2172334276605037</v>
      </c>
      <c r="U20" s="179">
        <f>T20*(1+'KEEI BAU - Industry'!$AW$28)</f>
        <v>3.2583695441215328</v>
      </c>
      <c r="V20" s="179">
        <f>U20*(1+'KEEI BAU - Industry'!$AW$28)</f>
        <v>3.3000316342538989</v>
      </c>
      <c r="W20" s="179">
        <f>V20*(1+'KEEI BAU - Industry'!$AW$28)</f>
        <v>3.3422264232501275</v>
      </c>
      <c r="X20" s="179">
        <f>W20*(1+'KEEI BAU - Industry'!$AW$28)</f>
        <v>3.3849607222922464</v>
      </c>
      <c r="Y20" s="179">
        <f>X20*(1+'KEEI BAU - Industry'!$AW$28)</f>
        <v>3.4282414296512638</v>
      </c>
      <c r="Z20" s="179">
        <f>Y20*(1+'KEEI BAU - Industry'!$AW$28)</f>
        <v>3.4720755318007024</v>
      </c>
      <c r="AA20" s="179">
        <f>Z20*(1+'KEEI BAU - Industry'!$AW$28)</f>
        <v>3.5164701045443731</v>
      </c>
      <c r="AB20" s="179">
        <f>AA20*(1+'KEEI BAU - Industry'!$AW$28)</f>
        <v>3.5614323141585675</v>
      </c>
      <c r="AC20" s="179">
        <f>AB20*(1+'KEEI BAU - Industry'!$AW$28)</f>
        <v>3.606969418548855</v>
      </c>
      <c r="AD20" s="179">
        <f>AC20*(1+'KEEI BAU - Industry'!$AW$28)</f>
        <v>3.6530887684216715</v>
      </c>
      <c r="AE20" s="179">
        <f>AD20*(1+'KEEI BAU - Industry'!$AW$28)</f>
        <v>3.6997978084708874</v>
      </c>
      <c r="AF20" s="179">
        <f>AE20*(1+'KEEI BAU - Industry'!$AW$28)</f>
        <v>3.7471040785795475</v>
      </c>
    </row>
    <row r="21" spans="1:32">
      <c r="A21" s="4" t="s">
        <v>21</v>
      </c>
      <c r="B21" s="179">
        <f>SUM('2019 KESIS Energy Balance'!$BI$63:$BI$64)*'Machinery Split'!$J9*(1+'KEEI BAU - Industry'!$AW$28)</f>
        <v>10.43506873957601</v>
      </c>
      <c r="C21" s="179">
        <f>B21*(1+'KEEI BAU - Industry'!$AW$28)</f>
        <v>10.568493376799859</v>
      </c>
      <c r="D21" s="179">
        <f>C21*(1+'KEEI BAU - Industry'!$AW$28)</f>
        <v>10.703624005068194</v>
      </c>
      <c r="E21" s="179">
        <f>D21*(1+'KEEI BAU - Industry'!$AW$28)</f>
        <v>10.840482437484685</v>
      </c>
      <c r="F21" s="179">
        <f>E21*(1+'KEEI BAU - Industry'!$AW$28)</f>
        <v>10.979090766059208</v>
      </c>
      <c r="G21" s="179">
        <f>F21*(1+'KEEI BAU - Industry'!$AW$28)</f>
        <v>11.119471365273993</v>
      </c>
      <c r="H21" s="179">
        <f>G21*(1+'KEEI BAU - Industry'!$AW$28)</f>
        <v>11.26164689569536</v>
      </c>
      <c r="I21" s="179">
        <f>H21*(1+'KEEI BAU - Industry'!$AW$28)</f>
        <v>11.405640307631646</v>
      </c>
      <c r="J21" s="179">
        <f>I21*(1+'KEEI BAU - Industry'!$AW$28)</f>
        <v>11.551474844837895</v>
      </c>
      <c r="K21" s="179">
        <f>J21*(1+'KEEI BAU - Industry'!$AW$28)</f>
        <v>11.699174048267917</v>
      </c>
      <c r="L21" s="179">
        <f>K21*(1+'KEEI BAU - Industry'!$AW$28)</f>
        <v>11.848761759874332</v>
      </c>
      <c r="M21" s="179">
        <f>L21*(1+'KEEI BAU - Industry'!$AW$28)</f>
        <v>12.000262126457185</v>
      </c>
      <c r="N21" s="179">
        <f>M21*(1+'KEEI BAU - Industry'!$AW$28)</f>
        <v>12.153699603561787</v>
      </c>
      <c r="O21" s="179">
        <f>N21*(1+'KEEI BAU - Industry'!$AW$28)</f>
        <v>12.309098959426381</v>
      </c>
      <c r="P21" s="179">
        <f>O21*(1+'KEEI BAU - Industry'!$AW$28)</f>
        <v>12.46648527898029</v>
      </c>
      <c r="Q21" s="179">
        <f>P21*(1+'KEEI BAU - Industry'!$AW$28)</f>
        <v>12.62588396789319</v>
      </c>
      <c r="R21" s="179">
        <f>Q21*(1+'KEEI BAU - Industry'!$AW$28)</f>
        <v>12.787320756676145</v>
      </c>
      <c r="S21" s="179">
        <f>R21*(1+'KEEI BAU - Industry'!$AW$28)</f>
        <v>12.950821704835096</v>
      </c>
      <c r="T21" s="179">
        <f>S21*(1+'KEEI BAU - Industry'!$AW$28)</f>
        <v>13.116413205077439</v>
      </c>
      <c r="U21" s="179">
        <f>T21*(1+'KEEI BAU - Industry'!$AW$28)</f>
        <v>13.284121987572403</v>
      </c>
      <c r="V21" s="179">
        <f>U21*(1+'KEEI BAU - Industry'!$AW$28)</f>
        <v>13.453975124265897</v>
      </c>
      <c r="W21" s="179">
        <f>V21*(1+'KEEI BAU - Industry'!$AW$28)</f>
        <v>13.626000033250522</v>
      </c>
      <c r="X21" s="179">
        <f>W21*(1+'KEEI BAU - Industry'!$AW$28)</f>
        <v>13.800224483191469</v>
      </c>
      <c r="Y21" s="179">
        <f>X21*(1+'KEEI BAU - Industry'!$AW$28)</f>
        <v>13.976676597809002</v>
      </c>
      <c r="Z21" s="179">
        <f>Y21*(1+'KEEI BAU - Industry'!$AW$28)</f>
        <v>14.155384860418252</v>
      </c>
      <c r="AA21" s="179">
        <f>Z21*(1+'KEEI BAU - Industry'!$AW$28)</f>
        <v>14.336378118527064</v>
      </c>
      <c r="AB21" s="179">
        <f>AA21*(1+'KEEI BAU - Industry'!$AW$28)</f>
        <v>14.519685588492624</v>
      </c>
      <c r="AC21" s="179">
        <f>AB21*(1+'KEEI BAU - Industry'!$AW$28)</f>
        <v>14.705336860237642</v>
      </c>
      <c r="AD21" s="179">
        <f>AC21*(1+'KEEI BAU - Industry'!$AW$28)</f>
        <v>14.893361902026816</v>
      </c>
      <c r="AE21" s="179">
        <f>AD21*(1+'KEEI BAU - Industry'!$AW$28)</f>
        <v>15.083791065304389</v>
      </c>
      <c r="AF21" s="179">
        <f>AE21*(1+'KEEI BAU - Industry'!$AW$28)</f>
        <v>15.276655089593541</v>
      </c>
    </row>
    <row r="22" spans="1:32">
      <c r="A22" s="4" t="s">
        <v>22</v>
      </c>
      <c r="B22" s="179">
        <f>SUM('2019 KESIS Energy Balance'!$BI$63:$BI$64)*'Machinery Split'!$J10*(1+'KEEI BAU - Industry'!$AW$28)</f>
        <v>0</v>
      </c>
      <c r="C22" s="179">
        <f>B22*(1+'KEEI BAU - Industry'!$AW$28)</f>
        <v>0</v>
      </c>
      <c r="D22" s="179">
        <f>C22*(1+'KEEI BAU - Industry'!$AW$28)</f>
        <v>0</v>
      </c>
      <c r="E22" s="179">
        <f>D22*(1+'KEEI BAU - Industry'!$AW$28)</f>
        <v>0</v>
      </c>
      <c r="F22" s="179">
        <f>E22*(1+'KEEI BAU - Industry'!$AW$28)</f>
        <v>0</v>
      </c>
      <c r="G22" s="179">
        <f>F22*(1+'KEEI BAU - Industry'!$AW$28)</f>
        <v>0</v>
      </c>
      <c r="H22" s="179">
        <f>G22*(1+'KEEI BAU - Industry'!$AW$28)</f>
        <v>0</v>
      </c>
      <c r="I22" s="179">
        <f>H22*(1+'KEEI BAU - Industry'!$AW$28)</f>
        <v>0</v>
      </c>
      <c r="J22" s="179">
        <f>I22*(1+'KEEI BAU - Industry'!$AW$28)</f>
        <v>0</v>
      </c>
      <c r="K22" s="179">
        <f>J22*(1+'KEEI BAU - Industry'!$AW$28)</f>
        <v>0</v>
      </c>
      <c r="L22" s="179">
        <f>K22*(1+'KEEI BAU - Industry'!$AW$28)</f>
        <v>0</v>
      </c>
      <c r="M22" s="179">
        <f>L22*(1+'KEEI BAU - Industry'!$AW$28)</f>
        <v>0</v>
      </c>
      <c r="N22" s="179">
        <f>M22*(1+'KEEI BAU - Industry'!$AW$28)</f>
        <v>0</v>
      </c>
      <c r="O22" s="179">
        <f>N22*(1+'KEEI BAU - Industry'!$AW$28)</f>
        <v>0</v>
      </c>
      <c r="P22" s="179">
        <f>O22*(1+'KEEI BAU - Industry'!$AW$28)</f>
        <v>0</v>
      </c>
      <c r="Q22" s="179">
        <f>P22*(1+'KEEI BAU - Industry'!$AW$28)</f>
        <v>0</v>
      </c>
      <c r="R22" s="179">
        <f>Q22*(1+'KEEI BAU - Industry'!$AW$28)</f>
        <v>0</v>
      </c>
      <c r="S22" s="179">
        <f>R22*(1+'KEEI BAU - Industry'!$AW$28)</f>
        <v>0</v>
      </c>
      <c r="T22" s="179">
        <f>S22*(1+'KEEI BAU - Industry'!$AW$28)</f>
        <v>0</v>
      </c>
      <c r="U22" s="179">
        <f>T22*(1+'KEEI BAU - Industry'!$AW$28)</f>
        <v>0</v>
      </c>
      <c r="V22" s="179">
        <f>U22*(1+'KEEI BAU - Industry'!$AW$28)</f>
        <v>0</v>
      </c>
      <c r="W22" s="179">
        <f>V22*(1+'KEEI BAU - Industry'!$AW$28)</f>
        <v>0</v>
      </c>
      <c r="X22" s="179">
        <f>W22*(1+'KEEI BAU - Industry'!$AW$28)</f>
        <v>0</v>
      </c>
      <c r="Y22" s="179">
        <f>X22*(1+'KEEI BAU - Industry'!$AW$28)</f>
        <v>0</v>
      </c>
      <c r="Z22" s="179">
        <f>Y22*(1+'KEEI BAU - Industry'!$AW$28)</f>
        <v>0</v>
      </c>
      <c r="AA22" s="179">
        <f>Z22*(1+'KEEI BAU - Industry'!$AW$28)</f>
        <v>0</v>
      </c>
      <c r="AB22" s="179">
        <f>AA22*(1+'KEEI BAU - Industry'!$AW$28)</f>
        <v>0</v>
      </c>
      <c r="AC22" s="179">
        <f>AB22*(1+'KEEI BAU - Industry'!$AW$28)</f>
        <v>0</v>
      </c>
      <c r="AD22" s="179">
        <f>AC22*(1+'KEEI BAU - Industry'!$AW$28)</f>
        <v>0</v>
      </c>
      <c r="AE22" s="179">
        <f>AD22*(1+'KEEI BAU - Industry'!$AW$28)</f>
        <v>0</v>
      </c>
      <c r="AF22" s="179">
        <f>AE22*(1+'KEEI BAU - Industry'!$AW$28)</f>
        <v>0</v>
      </c>
    </row>
    <row r="23" spans="1:32">
      <c r="A23" s="4" t="s">
        <v>23</v>
      </c>
      <c r="B23" s="179">
        <f>'2019 KESIS Energy Balance'!BI65*(1+'KEEI BAU - Industry'!$AW$35)</f>
        <v>4.9753987095777066E-2</v>
      </c>
      <c r="C23" s="179">
        <f>B23*(1+'KEEI BAU - Industry'!$AW$35)</f>
        <v>5.051957616177042E-2</v>
      </c>
      <c r="D23" s="179">
        <f>C23*(1+'KEEI BAU - Industry'!$AW$35)</f>
        <v>5.1296945723201065E-2</v>
      </c>
      <c r="E23" s="179">
        <f>D23*(1+'KEEI BAU - Industry'!$AW$35)</f>
        <v>5.2086277052345351E-2</v>
      </c>
      <c r="F23" s="179">
        <f>E23*(1+'KEEI BAU - Industry'!$AW$35)</f>
        <v>5.2887754210805299E-2</v>
      </c>
      <c r="G23" s="179">
        <f>F23*(1+'KEEI BAU - Industry'!$AW$35)</f>
        <v>5.3701564092429308E-2</v>
      </c>
      <c r="H23" s="179">
        <f>G23*(1+'KEEI BAU - Industry'!$AW$35)</f>
        <v>5.4527896466893322E-2</v>
      </c>
      <c r="I23" s="179">
        <f>H23*(1+'KEEI BAU - Industry'!$AW$35)</f>
        <v>5.5366944023952612E-2</v>
      </c>
      <c r="J23" s="179">
        <f>I23*(1+'KEEI BAU - Industry'!$AW$35)</f>
        <v>5.6218902418374475E-2</v>
      </c>
      <c r="K23" s="179">
        <f>J23*(1+'KEEI BAU - Industry'!$AW$35)</f>
        <v>5.7083970315562317E-2</v>
      </c>
      <c r="L23" s="179">
        <f>K23*(1+'KEEI BAU - Industry'!$AW$35)</f>
        <v>5.7962349437881804E-2</v>
      </c>
      <c r="M23" s="179">
        <f>L23*(1+'KEEI BAU - Industry'!$AW$35)</f>
        <v>5.8854244611699844E-2</v>
      </c>
      <c r="N23" s="179">
        <f>M23*(1+'KEEI BAU - Industry'!$AW$35)</f>
        <v>5.9759863815147363E-2</v>
      </c>
      <c r="O23" s="179">
        <f>N23*(1+'KEEI BAU - Industry'!$AW$35)</f>
        <v>6.0679418226617071E-2</v>
      </c>
      <c r="P23" s="179">
        <f>O23*(1+'KEEI BAU - Industry'!$AW$35)</f>
        <v>6.1613122274007455E-2</v>
      </c>
      <c r="Q23" s="179">
        <f>P23*(1+'KEEI BAU - Industry'!$AW$35)</f>
        <v>6.2561193684724514E-2</v>
      </c>
      <c r="R23" s="179">
        <f>Q23*(1+'KEEI BAU - Industry'!$AW$35)</f>
        <v>6.3523853536452915E-2</v>
      </c>
      <c r="S23" s="179">
        <f>R23*(1+'KEEI BAU - Industry'!$AW$35)</f>
        <v>6.4501326308708376E-2</v>
      </c>
      <c r="T23" s="179">
        <f>S23*(1+'KEEI BAU - Industry'!$AW$35)</f>
        <v>6.5493839935183304E-2</v>
      </c>
      <c r="U23" s="179">
        <f>T23*(1+'KEEI BAU - Industry'!$AW$35)</f>
        <v>6.6501625856897936E-2</v>
      </c>
      <c r="V23" s="179">
        <f>U23*(1+'KEEI BAU - Industry'!$AW$35)</f>
        <v>6.7524919076169268E-2</v>
      </c>
      <c r="W23" s="179">
        <f>V23*(1+'KEEI BAU - Industry'!$AW$35)</f>
        <v>6.8563958211410536E-2</v>
      </c>
      <c r="X23" s="179">
        <f>W23*(1+'KEEI BAU - Industry'!$AW$35)</f>
        <v>6.9618985552773835E-2</v>
      </c>
      <c r="Y23" s="179">
        <f>X23*(1+'KEEI BAU - Industry'!$AW$35)</f>
        <v>7.0690247118648963E-2</v>
      </c>
      <c r="Z23" s="179">
        <f>Y23*(1+'KEEI BAU - Industry'!$AW$35)</f>
        <v>7.1777992713031674E-2</v>
      </c>
      <c r="AA23" s="179">
        <f>Z23*(1+'KEEI BAU - Industry'!$AW$35)</f>
        <v>7.2882475983774647E-2</v>
      </c>
      <c r="AB23" s="179">
        <f>AA23*(1+'KEEI BAU - Industry'!$AW$35)</f>
        <v>7.4003954481734802E-2</v>
      </c>
      <c r="AC23" s="179">
        <f>AB23*(1+'KEEI BAU - Industry'!$AW$35)</f>
        <v>7.5142689720830741E-2</v>
      </c>
      <c r="AD23" s="179">
        <f>AC23*(1+'KEEI BAU - Industry'!$AW$35)</f>
        <v>7.6298947239024334E-2</v>
      </c>
      <c r="AE23" s="179">
        <f>AD23*(1+'KEEI BAU - Industry'!$AW$35)</f>
        <v>7.7472996660240642E-2</v>
      </c>
      <c r="AF23" s="179">
        <f>AE23*(1+'KEEI BAU - Industry'!$AW$35)</f>
        <v>7.8665111757240669E-2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179">
        <f>'2019 KESIS Energy Balance'!BI66*(1+'KEEI BAU - Industry'!$AW$35)</f>
        <v>0</v>
      </c>
      <c r="C26" s="179">
        <f>B26*(1+'KEEI BAU - Industry'!$AW$35)</f>
        <v>0</v>
      </c>
      <c r="D26" s="179">
        <f>C26*(1+'KEEI BAU - Industry'!$AW$35)</f>
        <v>0</v>
      </c>
      <c r="E26" s="179">
        <f>D26*(1+'KEEI BAU - Industry'!$AW$35)</f>
        <v>0</v>
      </c>
      <c r="F26" s="179">
        <f>E26*(1+'KEEI BAU - Industry'!$AW$35)</f>
        <v>0</v>
      </c>
      <c r="G26" s="179">
        <f>F26*(1+'KEEI BAU - Industry'!$AW$35)</f>
        <v>0</v>
      </c>
      <c r="H26" s="179">
        <f>G26*(1+'KEEI BAU - Industry'!$AW$35)</f>
        <v>0</v>
      </c>
      <c r="I26" s="179">
        <f>H26*(1+'KEEI BAU - Industry'!$AW$35)</f>
        <v>0</v>
      </c>
      <c r="J26" s="179">
        <f>I26*(1+'KEEI BAU - Industry'!$AW$35)</f>
        <v>0</v>
      </c>
      <c r="K26" s="179">
        <f>J26*(1+'KEEI BAU - Industry'!$AW$35)</f>
        <v>0</v>
      </c>
      <c r="L26" s="179">
        <f>K26*(1+'KEEI BAU - Industry'!$AW$35)</f>
        <v>0</v>
      </c>
      <c r="M26" s="179">
        <f>L26*(1+'KEEI BAU - Industry'!$AW$35)</f>
        <v>0</v>
      </c>
      <c r="N26" s="179">
        <f>M26*(1+'KEEI BAU - Industry'!$AW$35)</f>
        <v>0</v>
      </c>
      <c r="O26" s="179">
        <f>N26*(1+'KEEI BAU - Industry'!$AW$35)</f>
        <v>0</v>
      </c>
      <c r="P26" s="179">
        <f>O26*(1+'KEEI BAU - Industry'!$AW$35)</f>
        <v>0</v>
      </c>
      <c r="Q26" s="179">
        <f>P26*(1+'KEEI BAU - Industry'!$AW$35)</f>
        <v>0</v>
      </c>
      <c r="R26" s="179">
        <f>Q26*(1+'KEEI BAU - Industry'!$AW$35)</f>
        <v>0</v>
      </c>
      <c r="S26" s="179">
        <f>R26*(1+'KEEI BAU - Industry'!$AW$35)</f>
        <v>0</v>
      </c>
      <c r="T26" s="179">
        <f>S26*(1+'KEEI BAU - Industry'!$AW$35)</f>
        <v>0</v>
      </c>
      <c r="U26" s="179">
        <f>T26*(1+'KEEI BAU - Industry'!$AW$35)</f>
        <v>0</v>
      </c>
      <c r="V26" s="179">
        <f>U26*(1+'KEEI BAU - Industry'!$AW$35)</f>
        <v>0</v>
      </c>
      <c r="W26" s="179">
        <f>V26*(1+'KEEI BAU - Industry'!$AW$35)</f>
        <v>0</v>
      </c>
      <c r="X26" s="179">
        <f>W26*(1+'KEEI BAU - Industry'!$AW$35)</f>
        <v>0</v>
      </c>
      <c r="Y26" s="179">
        <f>X26*(1+'KEEI BAU - Industry'!$AW$35)</f>
        <v>0</v>
      </c>
      <c r="Z26" s="179">
        <f>Y26*(1+'KEEI BAU - Industry'!$AW$35)</f>
        <v>0</v>
      </c>
      <c r="AA26" s="179">
        <f>Z26*(1+'KEEI BAU - Industry'!$AW$35)</f>
        <v>0</v>
      </c>
      <c r="AB26" s="179">
        <f>AA26*(1+'KEEI BAU - Industry'!$AW$35)</f>
        <v>0</v>
      </c>
      <c r="AC26" s="179">
        <f>AB26*(1+'KEEI BAU - Industry'!$AW$35)</f>
        <v>0</v>
      </c>
      <c r="AD26" s="179">
        <f>AC26*(1+'KEEI BAU - Industry'!$AW$35)</f>
        <v>0</v>
      </c>
      <c r="AE26" s="179">
        <f>AD26*(1+'KEEI BAU - Industry'!$AW$35)</f>
        <v>0</v>
      </c>
      <c r="AF26" s="179">
        <f>AE26*(1+'KEEI BAU - Industry'!$AW$35)</f>
        <v>0</v>
      </c>
    </row>
    <row r="28" spans="1:32">
      <c r="A28" s="397"/>
    </row>
  </sheetData>
  <phoneticPr fontId="35"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topLeftCell="A4" workbookViewId="0">
      <selection activeCell="B10" sqref="B10"/>
    </sheetView>
  </sheetViews>
  <sheetFormatPr defaultColWidth="9.08203125" defaultRowHeight="17"/>
  <cols>
    <col min="1" max="1" width="39.9140625" style="4" customWidth="1"/>
    <col min="2" max="33" width="11.1640625"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37">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4">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f>-'2019 KESIS Energy Balance'!S30*About!C70/1000*(1+'KEEI BAU - Oil Supply'!R9)</f>
        <v>5976949475130753</v>
      </c>
      <c r="C10" s="37">
        <f>B10*(1+'KEEI BAU - Oil Supply'!S9)</f>
        <v>5764464020594013</v>
      </c>
      <c r="D10" s="37">
        <f>C10*(1+'KEEI BAU - Oil Supply'!T9)</f>
        <v>5551978566057336</v>
      </c>
      <c r="E10" s="37">
        <f>D10*(1+'KEEI BAU - Oil Supply'!U9)</f>
        <v>5339493111520659</v>
      </c>
      <c r="F10" s="37">
        <f>E10*(1+'KEEI BAU - Oil Supply'!V9)</f>
        <v>5127007656983982</v>
      </c>
      <c r="G10" s="37">
        <f>F10*(1+'KEEI BAU - Oil Supply'!W9)</f>
        <v>4914522202447291</v>
      </c>
      <c r="H10" s="37">
        <f>G10*(1+'KEEI BAU - Oil Supply'!X9)</f>
        <v>4928873741323744</v>
      </c>
      <c r="I10" s="37">
        <f>H10*(1+'KEEI BAU - Oil Supply'!Y9)</f>
        <v>4943225280200198</v>
      </c>
      <c r="J10" s="37">
        <f>I10*(1+'KEEI BAU - Oil Supply'!Z9)</f>
        <v>4957576819076649</v>
      </c>
      <c r="K10" s="37">
        <f>J10*(1+'KEEI BAU - Oil Supply'!AA9)</f>
        <v>4971928357953103</v>
      </c>
      <c r="L10" s="37">
        <f>K10*(1+'KEEI BAU - Oil Supply'!AB9)</f>
        <v>4986279896829553</v>
      </c>
      <c r="M10" s="37">
        <f>L10*(1+'KEEI BAU - Oil Supply'!AC9)</f>
        <v>4983683324128201</v>
      </c>
      <c r="N10" s="37">
        <f>M10*(1+'KEEI BAU - Oil Supply'!AD9)</f>
        <v>4981086751426848</v>
      </c>
      <c r="O10" s="37">
        <f>N10*(1+'KEEI BAU - Oil Supply'!AE9)</f>
        <v>4978490178725495</v>
      </c>
      <c r="P10" s="37">
        <f>O10*(1+'KEEI BAU - Oil Supply'!AF9)</f>
        <v>4975893606024142</v>
      </c>
      <c r="Q10" s="37">
        <f>P10*(1+'KEEI BAU - Oil Supply'!AG9)</f>
        <v>4973297033322789</v>
      </c>
      <c r="R10" s="37">
        <f>Q10*(1+'KEEI BAU - Oil Supply'!AH9)</f>
        <v>4962300704352603</v>
      </c>
      <c r="S10" s="37">
        <f>R10*(1+'KEEI BAU - Oil Supply'!AI9)</f>
        <v>4951304375382417</v>
      </c>
      <c r="T10" s="37">
        <f>S10*(1+'KEEI BAU - Oil Supply'!AJ9)</f>
        <v>4940308046412231</v>
      </c>
      <c r="U10" s="37">
        <f>T10*(1+'KEEI BAU - Oil Supply'!AK9)</f>
        <v>4929311717442044</v>
      </c>
      <c r="V10" s="37">
        <f>U10*(1+'KEEI BAU - Oil Supply'!AL9)</f>
        <v>4918315388471858</v>
      </c>
      <c r="W10" s="37">
        <f>V10*(1+'KEEI BAU - Oil Supply'!AM9)</f>
        <v>4918518734526783</v>
      </c>
      <c r="X10" s="37">
        <f>W10*(1+'KEEI BAU - Oil Supply'!AN9)</f>
        <v>4911085938519132</v>
      </c>
      <c r="Y10" s="37">
        <f>X10*(1+'KEEI BAU - Oil Supply'!AO9)</f>
        <v>4903653142511481</v>
      </c>
      <c r="Z10" s="37">
        <f>Y10*(1+'KEEI BAU - Oil Supply'!AP9)</f>
        <v>4896220346503832</v>
      </c>
      <c r="AA10" s="37">
        <f>Z10*(1+'KEEI BAU - Oil Supply'!AQ9)</f>
        <v>4888787550496181</v>
      </c>
      <c r="AB10" s="37">
        <f>AA10*(1+'KEEI BAU - Oil Supply'!AR9)</f>
        <v>4881354754488530</v>
      </c>
      <c r="AC10" s="37">
        <f>AB10*(1+'KEEI BAU - Oil Supply'!AS9)</f>
        <v>4873921958480879</v>
      </c>
      <c r="AD10" s="37">
        <f>AC10*(1+'KEEI BAU - Oil Supply'!AT9)</f>
        <v>4866489162473228</v>
      </c>
      <c r="AE10" s="37">
        <f>AD10*(1+'KEEI BAU - Oil Supply'!AU9)</f>
        <v>4859056366465576</v>
      </c>
      <c r="AF10" s="37">
        <f>AE10*(1+'KEEI BAU - Oil Supply'!AV9)</f>
        <v>4851623570457925</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T56" sqref="T56"/>
    </sheetView>
  </sheetViews>
  <sheetFormatPr defaultColWidth="9.08203125" defaultRowHeight="17"/>
  <cols>
    <col min="1" max="1" width="39.9140625" style="4" customWidth="1"/>
    <col min="2" max="33" width="11.91406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Split'!$D$46*'Others Split'!$I$6</f>
        <v>76236330577659.875</v>
      </c>
      <c r="C2" s="179">
        <f>'KEEI BAU - Industry'!S37*'Others Split'!$D$46*'Others Split'!$I$6</f>
        <v>77927733637930.109</v>
      </c>
      <c r="D2" s="179">
        <f>'KEEI BAU - Industry'!T37*'Others Split'!$D$46*'Others Split'!$I$6</f>
        <v>79619136698200.344</v>
      </c>
      <c r="E2" s="179">
        <f>'KEEI BAU - Industry'!U37*'Others Split'!$D$46*'Others Split'!$I$6</f>
        <v>81310539758470.594</v>
      </c>
      <c r="F2" s="179">
        <f>'KEEI BAU - Industry'!V37*'Others Split'!$D$46*'Others Split'!$I$6</f>
        <v>83001942818740.828</v>
      </c>
      <c r="G2" s="179">
        <f>'KEEI BAU - Industry'!W37*'Others Split'!$D$46*'Others Split'!$I$6</f>
        <v>84693345879011.063</v>
      </c>
      <c r="H2" s="179">
        <f>'KEEI BAU - Industry'!X37*'Others Split'!$D$46*'Others Split'!$I$6</f>
        <v>85474970809551.922</v>
      </c>
      <c r="I2" s="179">
        <f>'KEEI BAU - Industry'!Y37*'Others Split'!$D$46*'Others Split'!$I$6</f>
        <v>86256595740092.547</v>
      </c>
      <c r="J2" s="179">
        <f>'KEEI BAU - Industry'!Z37*'Others Split'!$D$46*'Others Split'!$I$6</f>
        <v>87038220670633.172</v>
      </c>
      <c r="K2" s="179">
        <f>'KEEI BAU - Industry'!AA37*'Others Split'!$D$46*'Others Split'!$I$6</f>
        <v>87819845601173.781</v>
      </c>
      <c r="L2" s="179">
        <f>'KEEI BAU - Industry'!AB37*'Others Split'!$D$46*'Others Split'!$I$6</f>
        <v>88601470531714.563</v>
      </c>
      <c r="M2" s="179">
        <f>'KEEI BAU - Industry'!AC37*'Others Split'!$D$46*'Others Split'!$I$6</f>
        <v>89157177292962.563</v>
      </c>
      <c r="N2" s="179">
        <f>'KEEI BAU - Industry'!AD37*'Others Split'!$D$46*'Others Split'!$I$6</f>
        <v>89712884054210.719</v>
      </c>
      <c r="O2" s="179">
        <f>'KEEI BAU - Industry'!AE37*'Others Split'!$D$46*'Others Split'!$I$6</f>
        <v>90268590815458.875</v>
      </c>
      <c r="P2" s="179">
        <f>'KEEI BAU - Industry'!AF37*'Others Split'!$D$46*'Others Split'!$I$6</f>
        <v>90824297576707</v>
      </c>
      <c r="Q2" s="179">
        <f>'KEEI BAU - Industry'!AG37*'Others Split'!$D$46*'Others Split'!$I$6</f>
        <v>91380004337955.125</v>
      </c>
      <c r="R2" s="179">
        <f>'KEEI BAU - Industry'!AH37*'Others Split'!$D$46*'Others Split'!$I$6</f>
        <v>91816260113140.781</v>
      </c>
      <c r="S2" s="179">
        <f>'KEEI BAU - Industry'!AI37*'Others Split'!$D$46*'Others Split'!$I$6</f>
        <v>92252515888326.094</v>
      </c>
      <c r="T2" s="179">
        <f>'KEEI BAU - Industry'!AJ37*'Others Split'!$D$46*'Others Split'!$I$6</f>
        <v>92688771663511.547</v>
      </c>
      <c r="U2" s="179">
        <f>'KEEI BAU - Industry'!AK37*'Others Split'!$D$46*'Others Split'!$I$6</f>
        <v>93125027438697.031</v>
      </c>
      <c r="V2" s="179">
        <f>'KEEI BAU - Industry'!AL37*'Others Split'!$D$46*'Others Split'!$I$6</f>
        <v>93561283213882.328</v>
      </c>
      <c r="W2" s="179">
        <f>'KEEI BAU - Industry'!AM37*'Others Split'!$D$46*'Others Split'!$I$6</f>
        <v>94156806970484.75</v>
      </c>
      <c r="X2" s="179">
        <f>'KEEI BAU - Industry'!AN37*'Others Split'!$D$46*'Others Split'!$I$6</f>
        <v>94643738921575.547</v>
      </c>
      <c r="Y2" s="179">
        <f>'KEEI BAU - Industry'!AO37*'Others Split'!$D$46*'Others Split'!$I$6</f>
        <v>95130670872666.5</v>
      </c>
      <c r="Z2" s="179">
        <f>'KEEI BAU - Industry'!AP37*'Others Split'!$D$46*'Others Split'!$I$6</f>
        <v>95617602823757.313</v>
      </c>
      <c r="AA2" s="179">
        <f>'KEEI BAU - Industry'!AQ37*'Others Split'!$D$46*'Others Split'!$I$6</f>
        <v>96104534774848.109</v>
      </c>
      <c r="AB2" s="179">
        <f>'KEEI BAU - Industry'!AR37*'Others Split'!$D$46*'Others Split'!$I$6</f>
        <v>96591466725938.891</v>
      </c>
      <c r="AC2" s="179">
        <f>'KEEI BAU - Industry'!AS37*'Others Split'!$D$46*'Others Split'!$I$6</f>
        <v>97078398677029.844</v>
      </c>
      <c r="AD2" s="179">
        <f>'KEEI BAU - Industry'!AT37*'Others Split'!$D$46*'Others Split'!$I$6</f>
        <v>97565330628120.656</v>
      </c>
      <c r="AE2" s="179">
        <f>'KEEI BAU - Industry'!AU37*'Others Split'!$D$46*'Others Split'!$I$6</f>
        <v>98052262579211.453</v>
      </c>
      <c r="AF2" s="179">
        <f>'KEEI BAU - Industry'!AV37*'Others Split'!$D$46*'Others Split'!$I$6</f>
        <v>98539194530302.406</v>
      </c>
    </row>
    <row r="3" spans="1:35">
      <c r="A3" s="4" t="s">
        <v>3</v>
      </c>
      <c r="B3" s="179">
        <f>-SUM('2019 KESIS Energy Balance'!Z36:AE36)*'KEEI BAU - Industry'!$A$44/1000*(1+'KEEI BAU - Coal Supply'!R9)</f>
        <v>367786675336.9765</v>
      </c>
      <c r="C3" s="179">
        <f>B3*(1+'KEEI BAU - Coal Supply'!S9)</f>
        <v>372119985612.80121</v>
      </c>
      <c r="D3" s="179">
        <f>C3*(1+'KEEI BAU - Coal Supply'!T9)</f>
        <v>376453295888.62592</v>
      </c>
      <c r="E3" s="179">
        <f>D3*(1+'KEEI BAU - Coal Supply'!U9)</f>
        <v>380786606164.45233</v>
      </c>
      <c r="F3" s="179">
        <f>E3*(1+'KEEI BAU - Coal Supply'!V9)</f>
        <v>385119916440.2771</v>
      </c>
      <c r="G3" s="179">
        <f>F3*(1+'KEEI BAU - Coal Supply'!W9)</f>
        <v>389453226716.10309</v>
      </c>
      <c r="H3" s="179">
        <f>G3*(1+'KEEI BAU - Coal Supply'!X9)</f>
        <v>390977552530.57751</v>
      </c>
      <c r="I3" s="179">
        <f>H3*(1+'KEEI BAU - Coal Supply'!Y9)</f>
        <v>392501878345.05237</v>
      </c>
      <c r="J3" s="179">
        <f>I3*(1+'KEEI BAU - Coal Supply'!Z9)</f>
        <v>394026204159.52679</v>
      </c>
      <c r="K3" s="179">
        <f>J3*(1+'KEEI BAU - Coal Supply'!AA9)</f>
        <v>395550529974.00165</v>
      </c>
      <c r="L3" s="179">
        <f>K3*(1+'KEEI BAU - Coal Supply'!AB9)</f>
        <v>397074855788.47632</v>
      </c>
      <c r="M3" s="179">
        <f>L3*(1+'KEEI BAU - Coal Supply'!AC9)</f>
        <v>395643365477.65643</v>
      </c>
      <c r="N3" s="179">
        <f>M3*(1+'KEEI BAU - Coal Supply'!AD9)</f>
        <v>394211875166.83636</v>
      </c>
      <c r="O3" s="179">
        <f>N3*(1+'KEEI BAU - Coal Supply'!AE9)</f>
        <v>392780384856.01672</v>
      </c>
      <c r="P3" s="179">
        <f>O3*(1+'KEEI BAU - Coal Supply'!AF9)</f>
        <v>391348894545.19666</v>
      </c>
      <c r="Q3" s="179">
        <f>P3*(1+'KEEI BAU - Coal Supply'!AG9)</f>
        <v>389917404234.37695</v>
      </c>
      <c r="R3" s="179">
        <f>Q3*(1+'KEEI BAU - Coal Supply'!AH9)</f>
        <v>381889619833.51178</v>
      </c>
      <c r="S3" s="179">
        <f>R3*(1+'KEEI BAU - Coal Supply'!AI9)</f>
        <v>373861835432.65112</v>
      </c>
      <c r="T3" s="179">
        <f>S3*(1+'KEEI BAU - Coal Supply'!AJ9)</f>
        <v>365834051031.78711</v>
      </c>
      <c r="U3" s="179">
        <f>T3*(1+'KEEI BAU - Coal Supply'!AK9)</f>
        <v>357806266630.9231</v>
      </c>
      <c r="V3" s="179">
        <f>U3*(1+'KEEI BAU - Coal Supply'!AL9)</f>
        <v>349778482230.06219</v>
      </c>
      <c r="W3" s="179">
        <f>V3*(1+'KEEI BAU - Coal Supply'!AM9)</f>
        <v>350545756615.92145</v>
      </c>
      <c r="X3" s="179">
        <f>W3*(1+'KEEI BAU - Coal Supply'!AN9)</f>
        <v>345316400010.83319</v>
      </c>
      <c r="Y3" s="179">
        <f>X3*(1+'KEEI BAU - Coal Supply'!AO9)</f>
        <v>340087043405.74658</v>
      </c>
      <c r="Z3" s="179">
        <f>Y3*(1+'KEEI BAU - Coal Supply'!AP9)</f>
        <v>334857686800.65833</v>
      </c>
      <c r="AA3" s="179">
        <f>Z3*(1+'KEEI BAU - Coal Supply'!AQ9)</f>
        <v>329628330195.57172</v>
      </c>
      <c r="AB3" s="179">
        <f>AA3*(1+'KEEI BAU - Coal Supply'!AR9)</f>
        <v>324398973590.48517</v>
      </c>
      <c r="AC3" s="179">
        <f>AB3*(1+'KEEI BAU - Coal Supply'!AS9)</f>
        <v>319169616985.39691</v>
      </c>
      <c r="AD3" s="179">
        <f>AC3*(1+'KEEI BAU - Coal Supply'!AT9)</f>
        <v>313940260380.3103</v>
      </c>
      <c r="AE3" s="179">
        <f>AD3*(1+'KEEI BAU - Coal Supply'!AU9)</f>
        <v>308710903775.22369</v>
      </c>
      <c r="AF3" s="179">
        <f>AE3*(1+'KEEI BAU - Coal Supply'!AV9)</f>
        <v>303481547170.13544</v>
      </c>
    </row>
    <row r="4" spans="1:35">
      <c r="A4" s="4" t="s">
        <v>4</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row>
    <row r="5" spans="1:35">
      <c r="A5" s="4" t="s">
        <v>5</v>
      </c>
      <c r="B5" s="179">
        <f>'KEEI BAU - Industry'!R$37*'Others Split'!$D$46*'Others Split'!$I$7</f>
        <v>1977644354360.5574</v>
      </c>
      <c r="C5" s="179">
        <f>'KEEI BAU - Industry'!S$37*'Others Split'!$D$46*'Others Split'!$I$7</f>
        <v>2021520990181.6394</v>
      </c>
      <c r="D5" s="179">
        <f>'KEEI BAU - Industry'!T$37*'Others Split'!$D$46*'Others Split'!$I$7</f>
        <v>2065397626002.7214</v>
      </c>
      <c r="E5" s="179">
        <f>'KEEI BAU - Industry'!U$37*'Others Split'!$D$46*'Others Split'!$I$7</f>
        <v>2109274261823.8037</v>
      </c>
      <c r="F5" s="179">
        <f>'KEEI BAU - Industry'!V$37*'Others Split'!$D$46*'Others Split'!$I$7</f>
        <v>2153150897644.8857</v>
      </c>
      <c r="G5" s="179">
        <f>'KEEI BAU - Industry'!W$37*'Others Split'!$D$46*'Others Split'!$I$7</f>
        <v>2197027533465.9678</v>
      </c>
      <c r="H5" s="179">
        <f>'KEEI BAU - Industry'!X$37*'Others Split'!$D$46*'Others Split'!$I$7</f>
        <v>2217303642237.1914</v>
      </c>
      <c r="I5" s="179">
        <f>'KEEI BAU - Industry'!Y$37*'Others Split'!$D$46*'Others Split'!$I$7</f>
        <v>2237579751008.4087</v>
      </c>
      <c r="J5" s="179">
        <f>'KEEI BAU - Industry'!Z$37*'Others Split'!$D$46*'Others Split'!$I$7</f>
        <v>2257855859779.6265</v>
      </c>
      <c r="K5" s="179">
        <f>'KEEI BAU - Industry'!AA$37*'Others Split'!$D$46*'Others Split'!$I$7</f>
        <v>2278131968550.8438</v>
      </c>
      <c r="L5" s="179">
        <f>'KEEI BAU - Industry'!AB$37*'Others Split'!$D$46*'Others Split'!$I$7</f>
        <v>2298408077322.0654</v>
      </c>
      <c r="M5" s="179">
        <f>'KEEI BAU - Industry'!AC$37*'Others Split'!$D$46*'Others Split'!$I$7</f>
        <v>2312823649671.0332</v>
      </c>
      <c r="N5" s="179">
        <f>'KEEI BAU - Industry'!AD$37*'Others Split'!$D$46*'Others Split'!$I$7</f>
        <v>2327239222020.0054</v>
      </c>
      <c r="O5" s="179">
        <f>'KEEI BAU - Industry'!AE$37*'Others Split'!$D$46*'Others Split'!$I$7</f>
        <v>2341654794368.9771</v>
      </c>
      <c r="P5" s="179">
        <f>'KEEI BAU - Industry'!AF$37*'Others Split'!$D$46*'Others Split'!$I$7</f>
        <v>2356070366717.9487</v>
      </c>
      <c r="Q5" s="179">
        <f>'KEEI BAU - Industry'!AG$37*'Others Split'!$D$46*'Others Split'!$I$7</f>
        <v>2370485939066.9199</v>
      </c>
      <c r="R5" s="179">
        <f>'KEEI BAU - Industry'!AH$37*'Others Split'!$D$46*'Others Split'!$I$7</f>
        <v>2381802836985.7441</v>
      </c>
      <c r="S5" s="179">
        <f>'KEEI BAU - Industry'!AI$37*'Others Split'!$D$46*'Others Split'!$I$7</f>
        <v>2393119734904.5591</v>
      </c>
      <c r="T5" s="179">
        <f>'KEEI BAU - Industry'!AJ$37*'Others Split'!$D$46*'Others Split'!$I$7</f>
        <v>2404436632823.3779</v>
      </c>
      <c r="U5" s="179">
        <f>'KEEI BAU - Industry'!AK$37*'Others Split'!$D$46*'Others Split'!$I$7</f>
        <v>2415753530742.1973</v>
      </c>
      <c r="V5" s="179">
        <f>'KEEI BAU - Industry'!AL$37*'Others Split'!$D$46*'Others Split'!$I$7</f>
        <v>2427070428661.0122</v>
      </c>
      <c r="W5" s="179">
        <f>'KEEI BAU - Industry'!AM$37*'Others Split'!$D$46*'Others Split'!$I$7</f>
        <v>2442518892486.7026</v>
      </c>
      <c r="X5" s="179">
        <f>'KEEI BAU - Industry'!AN$37*'Others Split'!$D$46*'Others Split'!$I$7</f>
        <v>2455150379557.7065</v>
      </c>
      <c r="Y5" s="179">
        <f>'KEEI BAU - Industry'!AO$37*'Others Split'!$D$46*'Others Split'!$I$7</f>
        <v>2467781866628.7144</v>
      </c>
      <c r="Z5" s="179">
        <f>'KEEI BAU - Industry'!AP$37*'Others Split'!$D$46*'Others Split'!$I$7</f>
        <v>2480413353699.7188</v>
      </c>
      <c r="AA5" s="179">
        <f>'KEEI BAU - Industry'!AQ$37*'Others Split'!$D$46*'Others Split'!$I$7</f>
        <v>2493044840770.7222</v>
      </c>
      <c r="AB5" s="179">
        <f>'KEEI BAU - Industry'!AR$37*'Others Split'!$D$46*'Others Split'!$I$7</f>
        <v>2505676327841.7261</v>
      </c>
      <c r="AC5" s="179">
        <f>'KEEI BAU - Industry'!AS$37*'Others Split'!$D$46*'Others Split'!$I$7</f>
        <v>2518307814912.7339</v>
      </c>
      <c r="AD5" s="179">
        <f>'KEEI BAU - Industry'!AT$37*'Others Split'!$D$46*'Others Split'!$I$7</f>
        <v>2530939301983.7383</v>
      </c>
      <c r="AE5" s="179">
        <f>'KEEI BAU - Industry'!AU$37*'Others Split'!$D$46*'Others Split'!$I$7</f>
        <v>2543570789054.7417</v>
      </c>
      <c r="AF5" s="179">
        <f>'KEEI BAU - Industry'!AV$37*'Others Split'!$D$46*'Others Split'!$I$7</f>
        <v>2556202276125.75</v>
      </c>
    </row>
    <row r="6" spans="1:35">
      <c r="A6" s="4" t="s">
        <v>6</v>
      </c>
      <c r="B6" s="179">
        <f>'KEEI BAU - Industry'!R$37*'Others Split'!$D$46*'Others Split'!$I$8</f>
        <v>2279367476664.3818</v>
      </c>
      <c r="C6" s="179">
        <f>'KEEI BAU - Industry'!S$37*'Others Split'!$D$46*'Others Split'!$I$8</f>
        <v>2329938235989.9932</v>
      </c>
      <c r="D6" s="179">
        <f>'KEEI BAU - Industry'!T$37*'Others Split'!$D$46*'Others Split'!$I$8</f>
        <v>2380508995315.6045</v>
      </c>
      <c r="E6" s="179">
        <f>'KEEI BAU - Industry'!U$37*'Others Split'!$D$46*'Others Split'!$I$8</f>
        <v>2431079754641.2158</v>
      </c>
      <c r="F6" s="179">
        <f>'KEEI BAU - Industry'!V$37*'Others Split'!$D$46*'Others Split'!$I$8</f>
        <v>2481650513966.8271</v>
      </c>
      <c r="G6" s="179">
        <f>'KEEI BAU - Industry'!W$37*'Others Split'!$D$46*'Others Split'!$I$8</f>
        <v>2532221273292.439</v>
      </c>
      <c r="H6" s="179">
        <f>'KEEI BAU - Industry'!X$37*'Others Split'!$D$46*'Others Split'!$I$8</f>
        <v>2555590845675.1235</v>
      </c>
      <c r="I6" s="179">
        <f>'KEEI BAU - Industry'!Y$37*'Others Split'!$D$46*'Others Split'!$I$8</f>
        <v>2578960418057.8008</v>
      </c>
      <c r="J6" s="179">
        <f>'KEEI BAU - Industry'!Z$37*'Others Split'!$D$46*'Others Split'!$I$8</f>
        <v>2602329990440.4785</v>
      </c>
      <c r="K6" s="179">
        <f>'KEEI BAU - Industry'!AA$37*'Others Split'!$D$46*'Others Split'!$I$8</f>
        <v>2625699562823.1558</v>
      </c>
      <c r="L6" s="179">
        <f>'KEEI BAU - Industry'!AB$37*'Others Split'!$D$46*'Others Split'!$I$8</f>
        <v>2649069135205.8379</v>
      </c>
      <c r="M6" s="179">
        <f>'KEEI BAU - Industry'!AC$37*'Others Split'!$D$46*'Others Split'!$I$8</f>
        <v>2665684047132.3877</v>
      </c>
      <c r="N6" s="179">
        <f>'KEEI BAU - Industry'!AD$37*'Others Split'!$D$46*'Others Split'!$I$8</f>
        <v>2682298959058.9429</v>
      </c>
      <c r="O6" s="179">
        <f>'KEEI BAU - Industry'!AE$37*'Others Split'!$D$46*'Others Split'!$I$8</f>
        <v>2698913870985.4976</v>
      </c>
      <c r="P6" s="179">
        <f>'KEEI BAU - Industry'!AF$37*'Others Split'!$D$46*'Others Split'!$I$8</f>
        <v>2715528782912.0522</v>
      </c>
      <c r="Q6" s="179">
        <f>'KEEI BAU - Industry'!AG$37*'Others Split'!$D$46*'Others Split'!$I$8</f>
        <v>2732143694838.606</v>
      </c>
      <c r="R6" s="179">
        <f>'KEEI BAU - Industry'!AH$37*'Others Split'!$D$46*'Others Split'!$I$8</f>
        <v>2745187177098.7109</v>
      </c>
      <c r="S6" s="179">
        <f>'KEEI BAU - Industry'!AI$37*'Others Split'!$D$46*'Others Split'!$I$8</f>
        <v>2758230659358.8052</v>
      </c>
      <c r="T6" s="179">
        <f>'KEEI BAU - Industry'!AJ$37*'Others Split'!$D$46*'Others Split'!$I$8</f>
        <v>2771274141618.9043</v>
      </c>
      <c r="U6" s="179">
        <f>'KEEI BAU - Industry'!AK$37*'Others Split'!$D$46*'Others Split'!$I$8</f>
        <v>2784317623879.0034</v>
      </c>
      <c r="V6" s="179">
        <f>'KEEI BAU - Industry'!AL$37*'Others Split'!$D$46*'Others Split'!$I$8</f>
        <v>2797361106139.0981</v>
      </c>
      <c r="W6" s="179">
        <f>'KEEI BAU - Industry'!AM$37*'Others Split'!$D$46*'Others Split'!$I$8</f>
        <v>2815166494621.1392</v>
      </c>
      <c r="X6" s="179">
        <f>'KEEI BAU - Industry'!AN$37*'Others Split'!$D$46*'Others Split'!$I$8</f>
        <v>2829725128860.9453</v>
      </c>
      <c r="Y6" s="179">
        <f>'KEEI BAU - Industry'!AO$37*'Others Split'!$D$46*'Others Split'!$I$8</f>
        <v>2844283763100.7559</v>
      </c>
      <c r="Z6" s="179">
        <f>'KEEI BAU - Industry'!AP$37*'Others Split'!$D$46*'Others Split'!$I$8</f>
        <v>2858842397340.5625</v>
      </c>
      <c r="AA6" s="179">
        <f>'KEEI BAU - Industry'!AQ$37*'Others Split'!$D$46*'Others Split'!$I$8</f>
        <v>2873401031580.3682</v>
      </c>
      <c r="AB6" s="179">
        <f>'KEEI BAU - Industry'!AR$37*'Others Split'!$D$46*'Others Split'!$I$8</f>
        <v>2887959665820.1743</v>
      </c>
      <c r="AC6" s="179">
        <f>'KEEI BAU - Industry'!AS$37*'Others Split'!$D$46*'Others Split'!$I$8</f>
        <v>2902518300059.9849</v>
      </c>
      <c r="AD6" s="179">
        <f>'KEEI BAU - Industry'!AT$37*'Others Split'!$D$46*'Others Split'!$I$8</f>
        <v>2917076934299.7915</v>
      </c>
      <c r="AE6" s="179">
        <f>'KEEI BAU - Industry'!AU$37*'Others Split'!$D$46*'Others Split'!$I$8</f>
        <v>2931635568539.5972</v>
      </c>
      <c r="AF6" s="179">
        <f>'KEEI BAU - Industry'!AV$37*'Others Split'!$D$46*'Others Split'!$I$8</f>
        <v>2946194202779.4082</v>
      </c>
    </row>
    <row r="7" spans="1:35">
      <c r="A7" s="4" t="s">
        <v>7</v>
      </c>
      <c r="B7" s="179">
        <f>'KEEI BAU - Industry'!R$37*'Others Split'!$D$46*'Others Split'!$I$9</f>
        <v>412921970345.76807</v>
      </c>
      <c r="C7" s="179">
        <f>'KEEI BAU - Industry'!S$37*'Others Split'!$D$46*'Others Split'!$I$9</f>
        <v>422083186251.66986</v>
      </c>
      <c r="D7" s="179">
        <f>'KEEI BAU - Industry'!T$37*'Others Split'!$D$46*'Others Split'!$I$9</f>
        <v>431244402157.57172</v>
      </c>
      <c r="E7" s="179">
        <f>'KEEI BAU - Industry'!U$37*'Others Split'!$D$46*'Others Split'!$I$9</f>
        <v>440405618063.47357</v>
      </c>
      <c r="F7" s="179">
        <f>'KEEI BAU - Industry'!V$37*'Others Split'!$D$46*'Others Split'!$I$9</f>
        <v>449566833969.37543</v>
      </c>
      <c r="G7" s="179">
        <f>'KEEI BAU - Industry'!W$37*'Others Split'!$D$46*'Others Split'!$I$9</f>
        <v>458728049875.27728</v>
      </c>
      <c r="H7" s="179">
        <f>'KEEI BAU - Industry'!X$37*'Others Split'!$D$46*'Others Split'!$I$9</f>
        <v>462961597108.52887</v>
      </c>
      <c r="I7" s="179">
        <f>'KEEI BAU - Industry'!Y$37*'Others Split'!$D$46*'Others Split'!$I$9</f>
        <v>467195144341.77917</v>
      </c>
      <c r="J7" s="179">
        <f>'KEEI BAU - Industry'!Z$37*'Others Split'!$D$46*'Others Split'!$I$9</f>
        <v>471428691575.02948</v>
      </c>
      <c r="K7" s="179">
        <f>'KEEI BAU - Industry'!AA$37*'Others Split'!$D$46*'Others Split'!$I$9</f>
        <v>475662238808.27979</v>
      </c>
      <c r="L7" s="179">
        <f>'KEEI BAU - Industry'!AB$37*'Others Split'!$D$46*'Others Split'!$I$9</f>
        <v>479895786041.53094</v>
      </c>
      <c r="M7" s="179">
        <f>'KEEI BAU - Industry'!AC$37*'Others Split'!$D$46*'Others Split'!$I$9</f>
        <v>482905683410.02032</v>
      </c>
      <c r="N7" s="179">
        <f>'KEEI BAU - Industry'!AD$37*'Others Split'!$D$46*'Others Split'!$I$9</f>
        <v>485915580778.51062</v>
      </c>
      <c r="O7" s="179">
        <f>'KEEI BAU - Industry'!AE$37*'Others Split'!$D$46*'Others Split'!$I$9</f>
        <v>488925478147.00085</v>
      </c>
      <c r="P7" s="179">
        <f>'KEEI BAU - Industry'!AF$37*'Others Split'!$D$46*'Others Split'!$I$9</f>
        <v>491935375515.49109</v>
      </c>
      <c r="Q7" s="179">
        <f>'KEEI BAU - Industry'!AG$37*'Others Split'!$D$46*'Others Split'!$I$9</f>
        <v>494945272883.98114</v>
      </c>
      <c r="R7" s="179">
        <f>'KEEI BAU - Industry'!AH$37*'Others Split'!$D$46*'Others Split'!$I$9</f>
        <v>497308182967.6568</v>
      </c>
      <c r="S7" s="179">
        <f>'KEEI BAU - Industry'!AI$37*'Others Split'!$D$46*'Others Split'!$I$9</f>
        <v>499671093051.33057</v>
      </c>
      <c r="T7" s="179">
        <f>'KEEI BAU - Industry'!AJ$37*'Others Split'!$D$46*'Others Split'!$I$9</f>
        <v>502034003135.00513</v>
      </c>
      <c r="U7" s="179">
        <f>'KEEI BAU - Industry'!AK$37*'Others Split'!$D$46*'Others Split'!$I$9</f>
        <v>504396913218.67975</v>
      </c>
      <c r="V7" s="179">
        <f>'KEEI BAU - Industry'!AL$37*'Others Split'!$D$46*'Others Split'!$I$9</f>
        <v>506759823302.35352</v>
      </c>
      <c r="W7" s="179">
        <f>'KEEI BAU - Industry'!AM$37*'Others Split'!$D$46*'Others Split'!$I$9</f>
        <v>509985383099.11591</v>
      </c>
      <c r="X7" s="179">
        <f>'KEEI BAU - Industry'!AN$37*'Others Split'!$D$46*'Others Split'!$I$9</f>
        <v>512622772636.95441</v>
      </c>
      <c r="Y7" s="179">
        <f>'KEEI BAU - Industry'!AO$37*'Others Split'!$D$46*'Others Split'!$I$9</f>
        <v>515260162174.79382</v>
      </c>
      <c r="Z7" s="179">
        <f>'KEEI BAU - Industry'!AP$37*'Others Split'!$D$46*'Others Split'!$I$9</f>
        <v>517897551712.63245</v>
      </c>
      <c r="AA7" s="179">
        <f>'KEEI BAU - Industry'!AQ$37*'Others Split'!$D$46*'Others Split'!$I$9</f>
        <v>520534941250.47095</v>
      </c>
      <c r="AB7" s="179">
        <f>'KEEI BAU - Industry'!AR$37*'Others Split'!$D$46*'Others Split'!$I$9</f>
        <v>523172330788.30945</v>
      </c>
      <c r="AC7" s="179">
        <f>'KEEI BAU - Industry'!AS$37*'Others Split'!$D$46*'Others Split'!$I$9</f>
        <v>525809720326.14886</v>
      </c>
      <c r="AD7" s="179">
        <f>'KEEI BAU - Industry'!AT$37*'Others Split'!$D$46*'Others Split'!$I$9</f>
        <v>528447109863.98749</v>
      </c>
      <c r="AE7" s="179">
        <f>'KEEI BAU - Industry'!AU$37*'Others Split'!$D$46*'Others Split'!$I$9</f>
        <v>531084499401.82599</v>
      </c>
      <c r="AF7" s="179">
        <f>'KEEI BAU - Industry'!AV$37*'Others Split'!$D$46*'Others Split'!$I$9</f>
        <v>533721888939.66541</v>
      </c>
    </row>
    <row r="8" spans="1:35">
      <c r="A8" s="4" t="s">
        <v>8</v>
      </c>
      <c r="B8" s="179">
        <f>'KEEI BAU - Industry'!R$37*'Others Split'!$D$46*'Others Split'!$I$10</f>
        <v>64642164481.709572</v>
      </c>
      <c r="C8" s="179">
        <f>'KEEI BAU - Industry'!S$37*'Others Split'!$D$46*'Others Split'!$I$10</f>
        <v>66076335748.852058</v>
      </c>
      <c r="D8" s="179">
        <f>'KEEI BAU - Industry'!T$37*'Others Split'!$D$46*'Others Split'!$I$10</f>
        <v>67510507015.994537</v>
      </c>
      <c r="E8" s="179">
        <f>'KEEI BAU - Industry'!U$37*'Others Split'!$D$46*'Others Split'!$I$10</f>
        <v>68944678283.137024</v>
      </c>
      <c r="F8" s="179">
        <f>'KEEI BAU - Industry'!V$37*'Others Split'!$D$46*'Others Split'!$I$10</f>
        <v>70378849550.27951</v>
      </c>
      <c r="G8" s="179">
        <f>'KEEI BAU - Industry'!W$37*'Others Split'!$D$46*'Others Split'!$I$10</f>
        <v>71813020817.421997</v>
      </c>
      <c r="H8" s="179">
        <f>'KEEI BAU - Industry'!X$37*'Others Split'!$D$46*'Others Split'!$I$10</f>
        <v>72475774742.488693</v>
      </c>
      <c r="I8" s="179">
        <f>'KEEI BAU - Industry'!Y$37*'Others Split'!$D$46*'Others Split'!$I$10</f>
        <v>73138528667.555206</v>
      </c>
      <c r="J8" s="179">
        <f>'KEEI BAU - Industry'!Z$37*'Others Split'!$D$46*'Others Split'!$I$10</f>
        <v>73801282592.621719</v>
      </c>
      <c r="K8" s="179">
        <f>'KEEI BAU - Industry'!AA$37*'Others Split'!$D$46*'Others Split'!$I$10</f>
        <v>74464036517.688217</v>
      </c>
      <c r="L8" s="179">
        <f>'KEEI BAU - Industry'!AB$37*'Others Split'!$D$46*'Others Split'!$I$10</f>
        <v>75126790442.754852</v>
      </c>
      <c r="M8" s="179">
        <f>'KEEI BAU - Industry'!AC$37*'Others Split'!$D$46*'Others Split'!$I$10</f>
        <v>75597984263.233887</v>
      </c>
      <c r="N8" s="179">
        <f>'KEEI BAU - Industry'!AD$37*'Others Split'!$D$46*'Others Split'!$I$10</f>
        <v>76069178083.713074</v>
      </c>
      <c r="O8" s="179">
        <f>'KEEI BAU - Industry'!AE$37*'Others Split'!$D$46*'Others Split'!$I$10</f>
        <v>76540371904.192245</v>
      </c>
      <c r="P8" s="179">
        <f>'KEEI BAU - Industry'!AF$37*'Others Split'!$D$46*'Others Split'!$I$10</f>
        <v>77011565724.671417</v>
      </c>
      <c r="Q8" s="179">
        <f>'KEEI BAU - Industry'!AG$37*'Others Split'!$D$46*'Others Split'!$I$10</f>
        <v>77482759545.150574</v>
      </c>
      <c r="R8" s="179">
        <f>'KEEI BAU - Industry'!AH$37*'Others Split'!$D$46*'Others Split'!$I$10</f>
        <v>77852668712.629715</v>
      </c>
      <c r="S8" s="179">
        <f>'KEEI BAU - Industry'!AI$37*'Others Split'!$D$46*'Others Split'!$I$10</f>
        <v>78222577880.108566</v>
      </c>
      <c r="T8" s="179">
        <f>'KEEI BAU - Industry'!AJ$37*'Others Split'!$D$46*'Others Split'!$I$10</f>
        <v>78592487047.58754</v>
      </c>
      <c r="U8" s="179">
        <f>'KEEI BAU - Industry'!AK$37*'Others Split'!$D$46*'Others Split'!$I$10</f>
        <v>78962396215.066528</v>
      </c>
      <c r="V8" s="179">
        <f>'KEEI BAU - Industry'!AL$37*'Others Split'!$D$46*'Others Split'!$I$10</f>
        <v>79332305382.54538</v>
      </c>
      <c r="W8" s="179">
        <f>'KEEI BAU - Industry'!AM$37*'Others Split'!$D$46*'Others Split'!$I$10</f>
        <v>79837260754.024658</v>
      </c>
      <c r="X8" s="179">
        <f>'KEEI BAU - Industry'!AN$37*'Others Split'!$D$46*'Others Split'!$I$10</f>
        <v>80250139168.230942</v>
      </c>
      <c r="Y8" s="179">
        <f>'KEEI BAU - Industry'!AO$37*'Others Split'!$D$46*'Others Split'!$I$10</f>
        <v>80663017582.437378</v>
      </c>
      <c r="Z8" s="179">
        <f>'KEEI BAU - Industry'!AP$37*'Others Split'!$D$46*'Others Split'!$I$10</f>
        <v>81075895996.643677</v>
      </c>
      <c r="AA8" s="179">
        <f>'KEEI BAU - Industry'!AQ$37*'Others Split'!$D$46*'Others Split'!$I$10</f>
        <v>81488774410.84996</v>
      </c>
      <c r="AB8" s="179">
        <f>'KEEI BAU - Industry'!AR$37*'Others Split'!$D$46*'Others Split'!$I$10</f>
        <v>81901652825.056259</v>
      </c>
      <c r="AC8" s="179">
        <f>'KEEI BAU - Industry'!AS$37*'Others Split'!$D$46*'Others Split'!$I$10</f>
        <v>82314531239.262695</v>
      </c>
      <c r="AD8" s="179">
        <f>'KEEI BAU - Industry'!AT$37*'Others Split'!$D$46*'Others Split'!$I$10</f>
        <v>82727409653.468994</v>
      </c>
      <c r="AE8" s="179">
        <f>'KEEI BAU - Industry'!AU$37*'Others Split'!$D$46*'Others Split'!$I$10</f>
        <v>83140288067.675278</v>
      </c>
      <c r="AF8" s="179">
        <f>'KEEI BAU - Industry'!AV$37*'Others Split'!$D$46*'Others Split'!$I$10</f>
        <v>83553166481.881714</v>
      </c>
    </row>
    <row r="9" spans="1:35">
      <c r="A9" s="4" t="s">
        <v>9</v>
      </c>
      <c r="B9" s="179">
        <f>'KEEI BAU - Industry'!R$37*'Others Split'!$D$46*'Others Split'!$I$11</f>
        <v>200492179588.23868</v>
      </c>
      <c r="C9" s="179">
        <f>'KEEI BAU - Industry'!S$37*'Others Split'!$D$46*'Others Split'!$I$11</f>
        <v>204940361754.74985</v>
      </c>
      <c r="D9" s="179">
        <f>'KEEI BAU - Industry'!T$37*'Others Split'!$D$46*'Others Split'!$I$11</f>
        <v>209388543921.26102</v>
      </c>
      <c r="E9" s="179">
        <f>'KEEI BAU - Industry'!U$37*'Others Split'!$D$46*'Others Split'!$I$11</f>
        <v>213836726087.77219</v>
      </c>
      <c r="F9" s="179">
        <f>'KEEI BAU - Industry'!V$37*'Others Split'!$D$46*'Others Split'!$I$11</f>
        <v>218284908254.28336</v>
      </c>
      <c r="G9" s="179">
        <f>'KEEI BAU - Industry'!W$37*'Others Split'!$D$46*'Others Split'!$I$11</f>
        <v>222733090420.79453</v>
      </c>
      <c r="H9" s="179">
        <f>'KEEI BAU - Industry'!X$37*'Others Split'!$D$46*'Others Split'!$I$11</f>
        <v>224788667922.45575</v>
      </c>
      <c r="I9" s="179">
        <f>'KEEI BAU - Industry'!Y$37*'Others Split'!$D$46*'Others Split'!$I$11</f>
        <v>226844245424.11627</v>
      </c>
      <c r="J9" s="179">
        <f>'KEEI BAU - Industry'!Z$37*'Others Split'!$D$46*'Others Split'!$I$11</f>
        <v>228899822925.77689</v>
      </c>
      <c r="K9" s="179">
        <f>'KEEI BAU - Industry'!AA$37*'Others Split'!$D$46*'Others Split'!$I$11</f>
        <v>230955400427.43741</v>
      </c>
      <c r="L9" s="179">
        <f>'KEEI BAU - Industry'!AB$37*'Others Split'!$D$46*'Others Split'!$I$11</f>
        <v>233010977929.09839</v>
      </c>
      <c r="M9" s="179">
        <f>'KEEI BAU - Industry'!AC$37*'Others Split'!$D$46*'Others Split'!$I$11</f>
        <v>234472418412.00616</v>
      </c>
      <c r="N9" s="179">
        <f>'KEEI BAU - Industry'!AD$37*'Others Split'!$D$46*'Others Split'!$I$11</f>
        <v>235933858894.91434</v>
      </c>
      <c r="O9" s="179">
        <f>'KEEI BAU - Industry'!AE$37*'Others Split'!$D$46*'Others Split'!$I$11</f>
        <v>237395299377.82254</v>
      </c>
      <c r="P9" s="179">
        <f>'KEEI BAU - Industry'!AF$37*'Others Split'!$D$46*'Others Split'!$I$11</f>
        <v>238856739860.73068</v>
      </c>
      <c r="Q9" s="179">
        <f>'KEEI BAU - Industry'!AG$37*'Others Split'!$D$46*'Others Split'!$I$11</f>
        <v>240318180343.63876</v>
      </c>
      <c r="R9" s="179">
        <f>'KEEI BAU - Industry'!AH$37*'Others Split'!$D$46*'Others Split'!$I$11</f>
        <v>241465479414.33356</v>
      </c>
      <c r="S9" s="179">
        <f>'KEEI BAU - Industry'!AI$37*'Others Split'!$D$46*'Others Split'!$I$11</f>
        <v>242612778485.0274</v>
      </c>
      <c r="T9" s="179">
        <f>'KEEI BAU - Industry'!AJ$37*'Others Split'!$D$46*'Others Split'!$I$11</f>
        <v>243760077555.72165</v>
      </c>
      <c r="U9" s="179">
        <f>'KEEI BAU - Industry'!AK$37*'Others Split'!$D$46*'Others Split'!$I$11</f>
        <v>244907376626.41595</v>
      </c>
      <c r="V9" s="179">
        <f>'KEEI BAU - Industry'!AL$37*'Others Split'!$D$46*'Others Split'!$I$11</f>
        <v>246054675697.10983</v>
      </c>
      <c r="W9" s="179">
        <f>'KEEI BAU - Industry'!AM$37*'Others Split'!$D$46*'Others Split'!$I$11</f>
        <v>247620829984.08942</v>
      </c>
      <c r="X9" s="179">
        <f>'KEEI BAU - Industry'!AN$37*'Others Split'!$D$46*'Others Split'!$I$11</f>
        <v>248901401169.05609</v>
      </c>
      <c r="Y9" s="179">
        <f>'KEEI BAU - Industry'!AO$37*'Others Split'!$D$46*'Others Split'!$I$11</f>
        <v>250181972354.02322</v>
      </c>
      <c r="Z9" s="179">
        <f>'KEEI BAU - Industry'!AP$37*'Others Split'!$D$46*'Others Split'!$I$11</f>
        <v>251462543538.98996</v>
      </c>
      <c r="AA9" s="179">
        <f>'KEEI BAU - Industry'!AQ$37*'Others Split'!$D$46*'Others Split'!$I$11</f>
        <v>252743114723.95667</v>
      </c>
      <c r="AB9" s="179">
        <f>'KEEI BAU - Industry'!AR$37*'Others Split'!$D$46*'Others Split'!$I$11</f>
        <v>254023685908.92334</v>
      </c>
      <c r="AC9" s="179">
        <f>'KEEI BAU - Industry'!AS$37*'Others Split'!$D$46*'Others Split'!$I$11</f>
        <v>255304257093.89047</v>
      </c>
      <c r="AD9" s="179">
        <f>'KEEI BAU - Industry'!AT$37*'Others Split'!$D$46*'Others Split'!$I$11</f>
        <v>256584828278.85721</v>
      </c>
      <c r="AE9" s="179">
        <f>'KEEI BAU - Industry'!AU$37*'Others Split'!$D$46*'Others Split'!$I$11</f>
        <v>257865399463.82391</v>
      </c>
      <c r="AF9" s="179">
        <f>'KEEI BAU - Industry'!AV$37*'Others Split'!$D$46*'Others Split'!$I$11</f>
        <v>259145970648.79105</v>
      </c>
    </row>
    <row r="10" spans="1:35">
      <c r="A10" s="14" t="s">
        <v>10</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row>
    <row r="11" spans="1:35">
      <c r="A11" s="4" t="s">
        <v>11</v>
      </c>
      <c r="B11" s="179">
        <f>'KEEI BAU - Industry'!R$9*'Petrochemicals Split'!$D$37*'Petrochemicals Split'!$I$6</f>
        <v>76317425976607.453</v>
      </c>
      <c r="C11" s="179">
        <f>'KEEI BAU - Industry'!S$9*'Petrochemicals Split'!$D$37*'Petrochemicals Split'!$I$6</f>
        <v>78819835111447.516</v>
      </c>
      <c r="D11" s="179">
        <f>'KEEI BAU - Industry'!T$9*'Petrochemicals Split'!$D$37*'Petrochemicals Split'!$I$6</f>
        <v>81322244246287.578</v>
      </c>
      <c r="E11" s="179">
        <f>'KEEI BAU - Industry'!U$9*'Petrochemicals Split'!$D$37*'Petrochemicals Split'!$I$6</f>
        <v>83824653381127.641</v>
      </c>
      <c r="F11" s="179">
        <f>'KEEI BAU - Industry'!V$9*'Petrochemicals Split'!$D$37*'Petrochemicals Split'!$I$6</f>
        <v>86327062515967.703</v>
      </c>
      <c r="G11" s="179">
        <f>'KEEI BAU - Industry'!W$9*'Petrochemicals Split'!$D$37*'Petrochemicals Split'!$I$6</f>
        <v>88829471650807.766</v>
      </c>
      <c r="H11" s="179">
        <f>'KEEI BAU - Industry'!X$9*'Petrochemicals Split'!$D$37*'Petrochemicals Split'!$I$6</f>
        <v>89344606478212.672</v>
      </c>
      <c r="I11" s="179">
        <f>'KEEI BAU - Industry'!Y$9*'Petrochemicals Split'!$D$37*'Petrochemicals Split'!$I$6</f>
        <v>89859741305617.453</v>
      </c>
      <c r="J11" s="179">
        <f>'KEEI BAU - Industry'!Z$9*'Petrochemicals Split'!$D$37*'Petrochemicals Split'!$I$6</f>
        <v>90374876133022.359</v>
      </c>
      <c r="K11" s="179">
        <f>'KEEI BAU - Industry'!AA$9*'Petrochemicals Split'!$D$37*'Petrochemicals Split'!$I$6</f>
        <v>90890010960427.141</v>
      </c>
      <c r="L11" s="179">
        <f>'KEEI BAU - Industry'!AB$9*'Petrochemicals Split'!$D$37*'Petrochemicals Split'!$I$6</f>
        <v>91405145787831.969</v>
      </c>
      <c r="M11" s="179">
        <f>'KEEI BAU - Industry'!AC$9*'Petrochemicals Split'!$D$37*'Petrochemicals Split'!$I$6</f>
        <v>91627085383773.828</v>
      </c>
      <c r="N11" s="179">
        <f>'KEEI BAU - Industry'!AD$9*'Petrochemicals Split'!$D$37*'Petrochemicals Split'!$I$6</f>
        <v>91849024979715.719</v>
      </c>
      <c r="O11" s="179">
        <f>'KEEI BAU - Industry'!AE$9*'Petrochemicals Split'!$D$37*'Petrochemicals Split'!$I$6</f>
        <v>92070964575657.625</v>
      </c>
      <c r="P11" s="179">
        <f>'KEEI BAU - Industry'!AF$9*'Petrochemicals Split'!$D$37*'Petrochemicals Split'!$I$6</f>
        <v>92292904171599.531</v>
      </c>
      <c r="Q11" s="179">
        <f>'KEEI BAU - Industry'!AG$9*'Petrochemicals Split'!$D$37*'Petrochemicals Split'!$I$6</f>
        <v>92514843767541.469</v>
      </c>
      <c r="R11" s="179">
        <f>'KEEI BAU - Industry'!AH$9*'Petrochemicals Split'!$D$37*'Petrochemicals Split'!$I$6</f>
        <v>92608829695397.203</v>
      </c>
      <c r="S11" s="179">
        <f>'KEEI BAU - Industry'!AI$9*'Petrochemicals Split'!$D$37*'Petrochemicals Split'!$I$6</f>
        <v>92702815623252.922</v>
      </c>
      <c r="T11" s="179">
        <f>'KEEI BAU - Industry'!AJ$9*'Petrochemicals Split'!$D$37*'Petrochemicals Split'!$I$6</f>
        <v>92796801551108.656</v>
      </c>
      <c r="U11" s="179">
        <f>'KEEI BAU - Industry'!AK$9*'Petrochemicals Split'!$D$37*'Petrochemicals Split'!$I$6</f>
        <v>92890787478964.359</v>
      </c>
      <c r="V11" s="179">
        <f>'KEEI BAU - Industry'!AL$9*'Petrochemicals Split'!$D$37*'Petrochemicals Split'!$I$6</f>
        <v>92984773406820.063</v>
      </c>
      <c r="W11" s="179">
        <f>'KEEI BAU - Industry'!AM$9*'Petrochemicals Split'!$D$37*'Petrochemicals Split'!$I$6</f>
        <v>93249364225457.406</v>
      </c>
      <c r="X11" s="179">
        <f>'KEEI BAU - Industry'!AN$9*'Petrochemicals Split'!$D$37*'Petrochemicals Split'!$I$6</f>
        <v>93397633527652.734</v>
      </c>
      <c r="Y11" s="179">
        <f>'KEEI BAU - Industry'!AO$9*'Petrochemicals Split'!$D$37*'Petrochemicals Split'!$I$6</f>
        <v>93545902829848.063</v>
      </c>
      <c r="Z11" s="179">
        <f>'KEEI BAU - Industry'!AP$9*'Petrochemicals Split'!$D$37*'Petrochemicals Split'!$I$6</f>
        <v>93694172132043.391</v>
      </c>
      <c r="AA11" s="179">
        <f>'KEEI BAU - Industry'!AQ$9*'Petrochemicals Split'!$D$37*'Petrochemicals Split'!$I$6</f>
        <v>93842441434238.656</v>
      </c>
      <c r="AB11" s="179">
        <f>'KEEI BAU - Industry'!AR$9*'Petrochemicals Split'!$D$37*'Petrochemicals Split'!$I$6</f>
        <v>93990710736433.969</v>
      </c>
      <c r="AC11" s="179">
        <f>'KEEI BAU - Industry'!AS$9*'Petrochemicals Split'!$D$37*'Petrochemicals Split'!$I$6</f>
        <v>94138980038629.297</v>
      </c>
      <c r="AD11" s="179">
        <f>'KEEI BAU - Industry'!AT$9*'Petrochemicals Split'!$D$37*'Petrochemicals Split'!$I$6</f>
        <v>94287249340824.625</v>
      </c>
      <c r="AE11" s="179">
        <f>'KEEI BAU - Industry'!AU$9*'Petrochemicals Split'!$D$37*'Petrochemicals Split'!$I$6</f>
        <v>94435518643019.953</v>
      </c>
      <c r="AF11" s="179">
        <f>'KEEI BAU - Industry'!AV$9*'Petrochemicals Split'!$D$37*'Petrochemicals Split'!$I$6</f>
        <v>94583787945215.281</v>
      </c>
    </row>
    <row r="12" spans="1:35">
      <c r="A12" s="4" t="s">
        <v>12</v>
      </c>
      <c r="B12" s="179">
        <f>'KEEI BAU - Industry'!R$9*'Petrochemicals Split'!$D$37*'Petrochemicals Split'!$I$7</f>
        <v>39521524166457.438</v>
      </c>
      <c r="C12" s="179">
        <f>'KEEI BAU - Industry'!S$9*'Petrochemicals Split'!$D$37*'Petrochemicals Split'!$I$7</f>
        <v>40817414611285.32</v>
      </c>
      <c r="D12" s="179">
        <f>'KEEI BAU - Industry'!T$9*'Petrochemicals Split'!$D$37*'Petrochemicals Split'!$I$7</f>
        <v>42113305056113.211</v>
      </c>
      <c r="E12" s="179">
        <f>'KEEI BAU - Industry'!U$9*'Petrochemicals Split'!$D$37*'Petrochemicals Split'!$I$7</f>
        <v>43409195500941.102</v>
      </c>
      <c r="F12" s="179">
        <f>'KEEI BAU - Industry'!V$9*'Petrochemicals Split'!$D$37*'Petrochemicals Split'!$I$7</f>
        <v>44705085945768.992</v>
      </c>
      <c r="G12" s="179">
        <f>'KEEI BAU - Industry'!W$9*'Petrochemicals Split'!$D$37*'Petrochemicals Split'!$I$7</f>
        <v>46000976390596.875</v>
      </c>
      <c r="H12" s="179">
        <f>'KEEI BAU - Industry'!X$9*'Petrochemicals Split'!$D$37*'Petrochemicals Split'!$I$7</f>
        <v>46267742640502.992</v>
      </c>
      <c r="I12" s="179">
        <f>'KEEI BAU - Industry'!Y$9*'Petrochemicals Split'!$D$37*'Petrochemicals Split'!$I$7</f>
        <v>46534508890409.039</v>
      </c>
      <c r="J12" s="179">
        <f>'KEEI BAU - Industry'!Z$9*'Petrochemicals Split'!$D$37*'Petrochemicals Split'!$I$7</f>
        <v>46801275140315.156</v>
      </c>
      <c r="K12" s="179">
        <f>'KEEI BAU - Industry'!AA$9*'Petrochemicals Split'!$D$37*'Petrochemicals Split'!$I$7</f>
        <v>47068041390221.203</v>
      </c>
      <c r="L12" s="179">
        <f>'KEEI BAU - Industry'!AB$9*'Petrochemicals Split'!$D$37*'Petrochemicals Split'!$I$7</f>
        <v>47334807640127.273</v>
      </c>
      <c r="M12" s="179">
        <f>'KEEI BAU - Industry'!AC$9*'Petrochemicals Split'!$D$37*'Petrochemicals Split'!$I$7</f>
        <v>47449740645168.594</v>
      </c>
      <c r="N12" s="179">
        <f>'KEEI BAU - Industry'!AD$9*'Petrochemicals Split'!$D$37*'Petrochemicals Split'!$I$7</f>
        <v>47564673650209.93</v>
      </c>
      <c r="O12" s="179">
        <f>'KEEI BAU - Industry'!AE$9*'Petrochemicals Split'!$D$37*'Petrochemicals Split'!$I$7</f>
        <v>47679606655251.273</v>
      </c>
      <c r="P12" s="179">
        <f>'KEEI BAU - Industry'!AF$9*'Petrochemicals Split'!$D$37*'Petrochemicals Split'!$I$7</f>
        <v>47794539660292.617</v>
      </c>
      <c r="Q12" s="179">
        <f>'KEEI BAU - Industry'!AG$9*'Petrochemicals Split'!$D$37*'Petrochemicals Split'!$I$7</f>
        <v>47909472665333.977</v>
      </c>
      <c r="R12" s="179">
        <f>'KEEI BAU - Industry'!AH$9*'Petrochemicals Split'!$D$37*'Petrochemicals Split'!$I$7</f>
        <v>47958143949402.125</v>
      </c>
      <c r="S12" s="179">
        <f>'KEEI BAU - Industry'!AI$9*'Petrochemicals Split'!$D$37*'Petrochemicals Split'!$I$7</f>
        <v>48006815233470.266</v>
      </c>
      <c r="T12" s="179">
        <f>'KEEI BAU - Industry'!AJ$9*'Petrochemicals Split'!$D$37*'Petrochemicals Split'!$I$7</f>
        <v>48055486517538.414</v>
      </c>
      <c r="U12" s="179">
        <f>'KEEI BAU - Industry'!AK$9*'Petrochemicals Split'!$D$37*'Petrochemicals Split'!$I$7</f>
        <v>48104157801606.547</v>
      </c>
      <c r="V12" s="179">
        <f>'KEEI BAU - Industry'!AL$9*'Petrochemicals Split'!$D$37*'Petrochemicals Split'!$I$7</f>
        <v>48152829085674.68</v>
      </c>
      <c r="W12" s="179">
        <f>'KEEI BAU - Industry'!AM$9*'Petrochemicals Split'!$D$37*'Petrochemicals Split'!$I$7</f>
        <v>48289849331040.445</v>
      </c>
      <c r="X12" s="179">
        <f>'KEEI BAU - Industry'!AN$9*'Petrochemicals Split'!$D$37*'Petrochemicals Split'!$I$7</f>
        <v>48366631648248.734</v>
      </c>
      <c r="Y12" s="179">
        <f>'KEEI BAU - Industry'!AO$9*'Petrochemicals Split'!$D$37*'Petrochemicals Split'!$I$7</f>
        <v>48443413965457.031</v>
      </c>
      <c r="Z12" s="179">
        <f>'KEEI BAU - Industry'!AP$9*'Petrochemicals Split'!$D$37*'Petrochemicals Split'!$I$7</f>
        <v>48520196282665.328</v>
      </c>
      <c r="AA12" s="179">
        <f>'KEEI BAU - Industry'!AQ$9*'Petrochemicals Split'!$D$37*'Petrochemicals Split'!$I$7</f>
        <v>48596978599873.594</v>
      </c>
      <c r="AB12" s="179">
        <f>'KEEI BAU - Industry'!AR$9*'Petrochemicals Split'!$D$37*'Petrochemicals Split'!$I$7</f>
        <v>48673760917081.875</v>
      </c>
      <c r="AC12" s="179">
        <f>'KEEI BAU - Industry'!AS$9*'Petrochemicals Split'!$D$37*'Petrochemicals Split'!$I$7</f>
        <v>48750543234290.172</v>
      </c>
      <c r="AD12" s="179">
        <f>'KEEI BAU - Industry'!AT$9*'Petrochemicals Split'!$D$37*'Petrochemicals Split'!$I$7</f>
        <v>48827325551498.469</v>
      </c>
      <c r="AE12" s="179">
        <f>'KEEI BAU - Industry'!AU$9*'Petrochemicals Split'!$D$37*'Petrochemicals Split'!$I$7</f>
        <v>48904107868706.766</v>
      </c>
      <c r="AF12" s="179">
        <f>'KEEI BAU - Industry'!AV$9*'Petrochemicals Split'!$D$37*'Petrochemicals Split'!$I$7</f>
        <v>48980890185915.063</v>
      </c>
    </row>
    <row r="13" spans="1:35">
      <c r="A13" s="4" t="s">
        <v>13</v>
      </c>
      <c r="B13" s="179">
        <f>'KEEI BAU - Industry'!R$37*'Others Split'!$D$46*'Others Split'!$I$12</f>
        <v>70943688343.373352</v>
      </c>
      <c r="C13" s="179">
        <f>'KEEI BAU - Industry'!S$37*'Others Split'!$D$46*'Others Split'!$I$12</f>
        <v>72517667188.651123</v>
      </c>
      <c r="D13" s="179">
        <f>'KEEI BAU - Industry'!T$37*'Others Split'!$D$46*'Others Split'!$I$12</f>
        <v>74091646033.928894</v>
      </c>
      <c r="E13" s="179">
        <f>'KEEI BAU - Industry'!U$37*'Others Split'!$D$46*'Others Split'!$I$12</f>
        <v>75665624879.20668</v>
      </c>
      <c r="F13" s="179">
        <f>'KEEI BAU - Industry'!V$37*'Others Split'!$D$46*'Others Split'!$I$12</f>
        <v>77239603724.484451</v>
      </c>
      <c r="G13" s="179">
        <f>'KEEI BAU - Industry'!W$37*'Others Split'!$D$46*'Others Split'!$I$12</f>
        <v>78813582569.762222</v>
      </c>
      <c r="H13" s="179">
        <f>'KEEI BAU - Industry'!X$37*'Others Split'!$D$46*'Others Split'!$I$12</f>
        <v>79540943856.087708</v>
      </c>
      <c r="I13" s="179">
        <f>'KEEI BAU - Industry'!Y$37*'Others Split'!$D$46*'Others Split'!$I$12</f>
        <v>80268305142.412964</v>
      </c>
      <c r="J13" s="179">
        <f>'KEEI BAU - Industry'!Z$37*'Others Split'!$D$46*'Others Split'!$I$12</f>
        <v>80995666428.738235</v>
      </c>
      <c r="K13" s="179">
        <f>'KEEI BAU - Industry'!AA$37*'Others Split'!$D$46*'Others Split'!$I$12</f>
        <v>81723027715.063507</v>
      </c>
      <c r="L13" s="179">
        <f>'KEEI BAU - Industry'!AB$37*'Others Split'!$D$46*'Others Split'!$I$12</f>
        <v>82450389001.388916</v>
      </c>
      <c r="M13" s="179">
        <f>'KEEI BAU - Industry'!AC$37*'Others Split'!$D$46*'Others Split'!$I$12</f>
        <v>82967516294.656555</v>
      </c>
      <c r="N13" s="179">
        <f>'KEEI BAU - Industry'!AD$37*'Others Split'!$D$46*'Others Split'!$I$12</f>
        <v>83484643587.924362</v>
      </c>
      <c r="O13" s="179">
        <f>'KEEI BAU - Industry'!AE$37*'Others Split'!$D$46*'Others Split'!$I$12</f>
        <v>84001770881.192154</v>
      </c>
      <c r="P13" s="179">
        <f>'KEEI BAU - Industry'!AF$37*'Others Split'!$D$46*'Others Split'!$I$12</f>
        <v>84518898174.459946</v>
      </c>
      <c r="Q13" s="179">
        <f>'KEEI BAU - Industry'!AG$37*'Others Split'!$D$46*'Others Split'!$I$12</f>
        <v>85036025467.727707</v>
      </c>
      <c r="R13" s="179">
        <f>'KEEI BAU - Industry'!AH$37*'Others Split'!$D$46*'Others Split'!$I$12</f>
        <v>85441994557.769897</v>
      </c>
      <c r="S13" s="179">
        <f>'KEEI BAU - Industry'!AI$37*'Others Split'!$D$46*'Others Split'!$I$12</f>
        <v>85847963647.811768</v>
      </c>
      <c r="T13" s="179">
        <f>'KEEI BAU - Industry'!AJ$37*'Others Split'!$D$46*'Others Split'!$I$12</f>
        <v>86253932737.85376</v>
      </c>
      <c r="U13" s="179">
        <f>'KEEI BAU - Industry'!AK$37*'Others Split'!$D$46*'Others Split'!$I$12</f>
        <v>86659901827.895782</v>
      </c>
      <c r="V13" s="179">
        <f>'KEEI BAU - Industry'!AL$37*'Others Split'!$D$46*'Others Split'!$I$12</f>
        <v>87065870917.937653</v>
      </c>
      <c r="W13" s="179">
        <f>'KEEI BAU - Industry'!AM$37*'Others Split'!$D$46*'Others Split'!$I$12</f>
        <v>87620050945.614075</v>
      </c>
      <c r="X13" s="179">
        <f>'KEEI BAU - Industry'!AN$37*'Others Split'!$D$46*'Others Split'!$I$12</f>
        <v>88073178061.266968</v>
      </c>
      <c r="Y13" s="179">
        <f>'KEEI BAU - Industry'!AO$37*'Others Split'!$D$46*'Others Split'!$I$12</f>
        <v>88526305176.920029</v>
      </c>
      <c r="Z13" s="179">
        <f>'KEEI BAU - Industry'!AP$37*'Others Split'!$D$46*'Others Split'!$I$12</f>
        <v>88979432292.572937</v>
      </c>
      <c r="AA13" s="179">
        <f>'KEEI BAU - Industry'!AQ$37*'Others Split'!$D$46*'Others Split'!$I$12</f>
        <v>89432559408.22583</v>
      </c>
      <c r="AB13" s="179">
        <f>'KEEI BAU - Industry'!AR$37*'Others Split'!$D$46*'Others Split'!$I$12</f>
        <v>89885686523.878738</v>
      </c>
      <c r="AC13" s="179">
        <f>'KEEI BAU - Industry'!AS$37*'Others Split'!$D$46*'Others Split'!$I$12</f>
        <v>90338813639.531784</v>
      </c>
      <c r="AD13" s="179">
        <f>'KEEI BAU - Industry'!AT$37*'Others Split'!$D$46*'Others Split'!$I$12</f>
        <v>90791940755.184708</v>
      </c>
      <c r="AE13" s="179">
        <f>'KEEI BAU - Industry'!AU$37*'Others Split'!$D$46*'Others Split'!$I$12</f>
        <v>91245067870.837601</v>
      </c>
      <c r="AF13" s="179">
        <f>'KEEI BAU - Industry'!AV$37*'Others Split'!$D$46*'Others Split'!$I$12</f>
        <v>91698194986.490646</v>
      </c>
    </row>
    <row r="14" spans="1:35">
      <c r="A14" s="4" t="s">
        <v>14</v>
      </c>
      <c r="B14" s="179">
        <f>'KEEI BAU - Industry'!R$37*'Others Split'!$D$46*'Others Split'!$I$13</f>
        <v>8205819951716.8506</v>
      </c>
      <c r="C14" s="179">
        <f>'KEEI BAU - Industry'!S$37*'Others Split'!$D$46*'Others Split'!$I$13</f>
        <v>8387876838153.9795</v>
      </c>
      <c r="D14" s="179">
        <f>'KEEI BAU - Industry'!T$37*'Others Split'!$D$46*'Others Split'!$I$13</f>
        <v>8569933724591.1084</v>
      </c>
      <c r="E14" s="179">
        <f>'KEEI BAU - Industry'!U$37*'Others Split'!$D$46*'Others Split'!$I$13</f>
        <v>8751990611028.2383</v>
      </c>
      <c r="F14" s="179">
        <f>'KEEI BAU - Industry'!V$37*'Others Split'!$D$46*'Others Split'!$I$13</f>
        <v>8934047497465.3672</v>
      </c>
      <c r="G14" s="179">
        <f>'KEEI BAU - Industry'!W$37*'Others Split'!$D$46*'Others Split'!$I$13</f>
        <v>9116104383902.4961</v>
      </c>
      <c r="H14" s="179">
        <f>'KEEI BAU - Industry'!X$37*'Others Split'!$D$46*'Others Split'!$I$13</f>
        <v>9200235839354.1445</v>
      </c>
      <c r="I14" s="179">
        <f>'KEEI BAU - Industry'!Y$37*'Others Split'!$D$46*'Others Split'!$I$13</f>
        <v>9284367294805.7656</v>
      </c>
      <c r="J14" s="179">
        <f>'KEEI BAU - Industry'!Z$37*'Others Split'!$D$46*'Others Split'!$I$13</f>
        <v>9368498750257.3887</v>
      </c>
      <c r="K14" s="179">
        <f>'KEEI BAU - Industry'!AA$37*'Others Split'!$D$46*'Others Split'!$I$13</f>
        <v>9452630205709.0098</v>
      </c>
      <c r="L14" s="179">
        <f>'KEEI BAU - Industry'!AB$37*'Others Split'!$D$46*'Others Split'!$I$13</f>
        <v>9536761661160.6504</v>
      </c>
      <c r="M14" s="179">
        <f>'KEEI BAU - Industry'!AC$37*'Others Split'!$D$46*'Others Split'!$I$13</f>
        <v>9596576051415.2734</v>
      </c>
      <c r="N14" s="179">
        <f>'KEEI BAU - Industry'!AD$37*'Others Split'!$D$46*'Others Split'!$I$13</f>
        <v>9656390441669.916</v>
      </c>
      <c r="O14" s="179">
        <f>'KEEI BAU - Industry'!AE$37*'Others Split'!$D$46*'Others Split'!$I$13</f>
        <v>9716204831924.5586</v>
      </c>
      <c r="P14" s="179">
        <f>'KEEI BAU - Industry'!AF$37*'Others Split'!$D$46*'Others Split'!$I$13</f>
        <v>9776019222179.1992</v>
      </c>
      <c r="Q14" s="179">
        <f>'KEEI BAU - Industry'!AG$37*'Others Split'!$D$46*'Others Split'!$I$13</f>
        <v>9835833612433.8379</v>
      </c>
      <c r="R14" s="179">
        <f>'KEEI BAU - Industry'!AH$37*'Others Split'!$D$46*'Others Split'!$I$13</f>
        <v>9882790703848.7168</v>
      </c>
      <c r="S14" s="179">
        <f>'KEEI BAU - Industry'!AI$37*'Others Split'!$D$46*'Others Split'!$I$13</f>
        <v>9929747795263.5605</v>
      </c>
      <c r="T14" s="179">
        <f>'KEEI BAU - Industry'!AJ$37*'Others Split'!$D$46*'Others Split'!$I$13</f>
        <v>9976704886678.418</v>
      </c>
      <c r="U14" s="179">
        <f>'KEEI BAU - Industry'!AK$37*'Others Split'!$D$46*'Others Split'!$I$13</f>
        <v>10023661978093.277</v>
      </c>
      <c r="V14" s="179">
        <f>'KEEI BAU - Industry'!AL$37*'Others Split'!$D$46*'Others Split'!$I$13</f>
        <v>10070619069508.121</v>
      </c>
      <c r="W14" s="179">
        <f>'KEEI BAU - Industry'!AM$37*'Others Split'!$D$46*'Others Split'!$I$13</f>
        <v>10134719226042.693</v>
      </c>
      <c r="X14" s="179">
        <f>'KEEI BAU - Industry'!AN$37*'Others Split'!$D$46*'Others Split'!$I$13</f>
        <v>10187130929086.545</v>
      </c>
      <c r="Y14" s="179">
        <f>'KEEI BAU - Industry'!AO$37*'Others Split'!$D$46*'Others Split'!$I$13</f>
        <v>10239542632130.416</v>
      </c>
      <c r="Z14" s="179">
        <f>'KEEI BAU - Industry'!AP$37*'Others Split'!$D$46*'Others Split'!$I$13</f>
        <v>10291954335174.27</v>
      </c>
      <c r="AA14" s="179">
        <f>'KEEI BAU - Industry'!AQ$37*'Others Split'!$D$46*'Others Split'!$I$13</f>
        <v>10344366038218.121</v>
      </c>
      <c r="AB14" s="179">
        <f>'KEEI BAU - Industry'!AR$37*'Others Split'!$D$46*'Others Split'!$I$13</f>
        <v>10396777741261.973</v>
      </c>
      <c r="AC14" s="179">
        <f>'KEEI BAU - Industry'!AS$37*'Others Split'!$D$46*'Others Split'!$I$13</f>
        <v>10449189444305.842</v>
      </c>
      <c r="AD14" s="179">
        <f>'KEEI BAU - Industry'!AT$37*'Others Split'!$D$46*'Others Split'!$I$13</f>
        <v>10501601147349.695</v>
      </c>
      <c r="AE14" s="179">
        <f>'KEEI BAU - Industry'!AU$37*'Others Split'!$D$46*'Others Split'!$I$13</f>
        <v>10554012850393.549</v>
      </c>
      <c r="AF14" s="179">
        <f>'KEEI BAU - Industry'!AV$37*'Others Split'!$D$46*'Others Split'!$I$13</f>
        <v>10606424553437.418</v>
      </c>
    </row>
    <row r="15" spans="1:35">
      <c r="A15" s="4" t="s">
        <v>15</v>
      </c>
      <c r="B15" s="179">
        <f>'KEEI BAU - Industry'!R23*'Steel Split'!$D$5</f>
        <v>451307814823.37329</v>
      </c>
      <c r="C15" s="179">
        <f>'KEEI BAU - Industry'!S23*'Steel Split'!$D$5</f>
        <v>440911080841.2793</v>
      </c>
      <c r="D15" s="179">
        <f>'KEEI BAU - Industry'!T23*'Steel Split'!$D$5</f>
        <v>430514346859.1853</v>
      </c>
      <c r="E15" s="179">
        <f>'KEEI BAU - Industry'!U23*'Steel Split'!$D$5</f>
        <v>420117612877.09125</v>
      </c>
      <c r="F15" s="179">
        <f>'KEEI BAU - Industry'!V23*'Steel Split'!$D$5</f>
        <v>409720878894.99731</v>
      </c>
      <c r="G15" s="179">
        <f>'KEEI BAU - Industry'!W23*'Steel Split'!$D$5</f>
        <v>399324144912.90332</v>
      </c>
      <c r="H15" s="179">
        <f>'KEEI BAU - Industry'!X23*'Steel Split'!$D$5</f>
        <v>397947165102.85919</v>
      </c>
      <c r="I15" s="179">
        <f>'KEEI BAU - Industry'!Y23*'Steel Split'!$D$5</f>
        <v>396570185292.8147</v>
      </c>
      <c r="J15" s="179">
        <f>'KEEI BAU - Industry'!Z23*'Steel Split'!$D$5</f>
        <v>395193205482.7702</v>
      </c>
      <c r="K15" s="179">
        <f>'KEEI BAU - Industry'!AA23*'Steel Split'!$D$5</f>
        <v>393816225672.72571</v>
      </c>
      <c r="L15" s="179">
        <f>'KEEI BAU - Industry'!AB23*'Steel Split'!$D$5</f>
        <v>392439245862.68085</v>
      </c>
      <c r="M15" s="179">
        <f>'KEEI BAU - Industry'!AC23*'Steel Split'!$D$5</f>
        <v>389685286242.59186</v>
      </c>
      <c r="N15" s="179">
        <f>'KEEI BAU - Industry'!AD23*'Steel Split'!$D$5</f>
        <v>386931326622.50287</v>
      </c>
      <c r="O15" s="179">
        <f>'KEEI BAU - Industry'!AE23*'Steel Split'!$D$5</f>
        <v>384177367002.41388</v>
      </c>
      <c r="P15" s="179">
        <f>'KEEI BAU - Industry'!AF23*'Steel Split'!$D$5</f>
        <v>381423407382.32489</v>
      </c>
      <c r="Q15" s="179">
        <f>'KEEI BAU - Industry'!AG23*'Steel Split'!$D$5</f>
        <v>378669447762.2359</v>
      </c>
      <c r="R15" s="179">
        <f>'KEEI BAU - Industry'!AH23*'Steel Split'!$D$5</f>
        <v>374538508332.10248</v>
      </c>
      <c r="S15" s="179">
        <f>'KEEI BAU - Industry'!AI23*'Steel Split'!$D$5</f>
        <v>370407568901.96899</v>
      </c>
      <c r="T15" s="179">
        <f>'KEEI BAU - Industry'!AJ23*'Steel Split'!$D$5</f>
        <v>366276629471.83551</v>
      </c>
      <c r="U15" s="179">
        <f>'KEEI BAU - Industry'!AK23*'Steel Split'!$D$5</f>
        <v>362145690041.70203</v>
      </c>
      <c r="V15" s="179">
        <f>'KEEI BAU - Industry'!AL23*'Steel Split'!$D$5</f>
        <v>358014750611.56854</v>
      </c>
      <c r="W15" s="179">
        <f>'KEEI BAU - Industry'!AM23*'Steel Split'!$D$5</f>
        <v>355719784261.49481</v>
      </c>
      <c r="X15" s="179">
        <f>'KEEI BAU - Industry'!AN23*'Steel Split'!$D$5</f>
        <v>352173018084.10742</v>
      </c>
      <c r="Y15" s="179">
        <f>'KEEI BAU - Industry'!AO23*'Steel Split'!$D$5</f>
        <v>348626251906.72003</v>
      </c>
      <c r="Z15" s="179">
        <f>'KEEI BAU - Industry'!AP23*'Steel Split'!$D$5</f>
        <v>345079485729.3327</v>
      </c>
      <c r="AA15" s="179">
        <f>'KEEI BAU - Industry'!AQ23*'Steel Split'!$D$5</f>
        <v>341532719551.94531</v>
      </c>
      <c r="AB15" s="179">
        <f>'KEEI BAU - Industry'!AR23*'Steel Split'!$D$5</f>
        <v>337985953374.55792</v>
      </c>
      <c r="AC15" s="179">
        <f>'KEEI BAU - Industry'!AS23*'Steel Split'!$D$5</f>
        <v>334439187197.17053</v>
      </c>
      <c r="AD15" s="179">
        <f>'KEEI BAU - Industry'!AT23*'Steel Split'!$D$5</f>
        <v>330892421019.7832</v>
      </c>
      <c r="AE15" s="179">
        <f>'KEEI BAU - Industry'!AU23*'Steel Split'!$D$5</f>
        <v>327345654842.39581</v>
      </c>
      <c r="AF15" s="179">
        <f>'KEEI BAU - Industry'!AV23*'Steel Split'!$D$5</f>
        <v>323798888665.00842</v>
      </c>
    </row>
    <row r="16" spans="1:35">
      <c r="A16" s="4" t="s">
        <v>16</v>
      </c>
      <c r="B16" s="20">
        <f>'KEEI BAU - Industry'!R$16*'Non-ferrous Metals Split'!$I$6*'Non-ferrous Metals Split'!$D$44</f>
        <v>251690520001.31882</v>
      </c>
      <c r="C16" s="20">
        <f>'KEEI BAU - Industry'!S$16*'Non-ferrous Metals Split'!$I$6*'Non-ferrous Metals Split'!$D$44</f>
        <v>255290266137.87906</v>
      </c>
      <c r="D16" s="20">
        <f>'KEEI BAU - Industry'!T$16*'Non-ferrous Metals Split'!$I$6*'Non-ferrous Metals Split'!$D$44</f>
        <v>258890012274.43936</v>
      </c>
      <c r="E16" s="20">
        <f>'KEEI BAU - Industry'!U$16*'Non-ferrous Metals Split'!$I$6*'Non-ferrous Metals Split'!$D$44</f>
        <v>262489758410.9996</v>
      </c>
      <c r="F16" s="20">
        <f>'KEEI BAU - Industry'!V$16*'Non-ferrous Metals Split'!$I$6*'Non-ferrous Metals Split'!$D$44</f>
        <v>266089504547.55991</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4" t="s">
        <v>17</v>
      </c>
      <c r="B17" s="20">
        <f>'KEEI BAU - Industry'!R$16*'Non-ferrous Metals Split'!$I$7*'Non-ferrous Metals Split'!$D$44</f>
        <v>2139369420011.2097</v>
      </c>
      <c r="C17" s="20">
        <f>'KEEI BAU - Industry'!S$16*'Non-ferrous Metals Split'!$I$7*'Non-ferrous Metals Split'!$D$44</f>
        <v>2169967262171.9719</v>
      </c>
      <c r="D17" s="20">
        <f>'KEEI BAU - Industry'!T$16*'Non-ferrous Metals Split'!$I$7*'Non-ferrous Metals Split'!$D$44</f>
        <v>2200565104332.7344</v>
      </c>
      <c r="E17" s="20">
        <f>'KEEI BAU - Industry'!U$16*'Non-ferrous Metals Split'!$I$7*'Non-ferrous Metals Split'!$D$44</f>
        <v>2231162946493.4966</v>
      </c>
      <c r="F17" s="20">
        <f>'KEEI BAU - Industry'!V$16*'Non-ferrous Metals Split'!$I$7*'Non-ferrous Metals Split'!$D$44</f>
        <v>2261760788654.2588</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179">
        <f>'KEEI BAU - Industry'!R$37*'Others Split'!$D$46*'Others Split'!$I$14</f>
        <v>12033291122812.645</v>
      </c>
      <c r="C23" s="179">
        <f>'KEEI BAU - Industry'!S$37*'Others Split'!$D$46*'Others Split'!$I$14</f>
        <v>12300265481048.771</v>
      </c>
      <c r="D23" s="179">
        <f>'KEEI BAU - Industry'!T$37*'Others Split'!$D$46*'Others Split'!$I$14</f>
        <v>12567239839284.898</v>
      </c>
      <c r="E23" s="179">
        <f>'KEEI BAU - Industry'!U$37*'Others Split'!$D$46*'Others Split'!$I$14</f>
        <v>12834214197521.027</v>
      </c>
      <c r="F23" s="179">
        <f>'KEEI BAU - Industry'!V$37*'Others Split'!$D$46*'Others Split'!$I$14</f>
        <v>13101188555757.154</v>
      </c>
      <c r="G23" s="179">
        <f>'KEEI BAU - Industry'!W$37*'Others Split'!$D$46*'Others Split'!$I$14</f>
        <v>13368162913993.281</v>
      </c>
      <c r="H23" s="179">
        <f>'KEEI BAU - Industry'!X$37*'Others Split'!$D$46*'Others Split'!$I$14</f>
        <v>13491536117645.381</v>
      </c>
      <c r="I23" s="179">
        <f>'KEEI BAU - Industry'!Y$37*'Others Split'!$D$46*'Others Split'!$I$14</f>
        <v>13614909321297.441</v>
      </c>
      <c r="J23" s="179">
        <f>'KEEI BAU - Industry'!Z$37*'Others Split'!$D$46*'Others Split'!$I$14</f>
        <v>13738282524949.504</v>
      </c>
      <c r="K23" s="179">
        <f>'KEEI BAU - Industry'!AA$37*'Others Split'!$D$46*'Others Split'!$I$14</f>
        <v>13861655728601.564</v>
      </c>
      <c r="L23" s="179">
        <f>'KEEI BAU - Industry'!AB$37*'Others Split'!$D$46*'Others Split'!$I$14</f>
        <v>13985028932253.652</v>
      </c>
      <c r="M23" s="179">
        <f>'KEEI BAU - Industry'!AC$37*'Others Split'!$D$46*'Others Split'!$I$14</f>
        <v>14072742771394.959</v>
      </c>
      <c r="N23" s="179">
        <f>'KEEI BAU - Industry'!AD$37*'Others Split'!$D$46*'Others Split'!$I$14</f>
        <v>14160456610536.293</v>
      </c>
      <c r="O23" s="179">
        <f>'KEEI BAU - Industry'!AE$37*'Others Split'!$D$46*'Others Split'!$I$14</f>
        <v>14248170449677.627</v>
      </c>
      <c r="P23" s="179">
        <f>'KEEI BAU - Industry'!AF$37*'Others Split'!$D$46*'Others Split'!$I$14</f>
        <v>14335884288818.957</v>
      </c>
      <c r="Q23" s="179">
        <f>'KEEI BAU - Industry'!AG$37*'Others Split'!$D$46*'Others Split'!$I$14</f>
        <v>14423598127960.285</v>
      </c>
      <c r="R23" s="179">
        <f>'KEEI BAU - Industry'!AH$37*'Others Split'!$D$46*'Others Split'!$I$14</f>
        <v>14492457590463.791</v>
      </c>
      <c r="S23" s="179">
        <f>'KEEI BAU - Industry'!AI$37*'Others Split'!$D$46*'Others Split'!$I$14</f>
        <v>14561317052967.244</v>
      </c>
      <c r="T23" s="179">
        <f>'KEEI BAU - Industry'!AJ$37*'Others Split'!$D$46*'Others Split'!$I$14</f>
        <v>14630176515470.719</v>
      </c>
      <c r="U23" s="179">
        <f>'KEEI BAU - Industry'!AK$37*'Others Split'!$D$46*'Others Split'!$I$14</f>
        <v>14699035977974.197</v>
      </c>
      <c r="V23" s="179">
        <f>'KEEI BAU - Industry'!AL$37*'Others Split'!$D$46*'Others Split'!$I$14</f>
        <v>14767895440477.648</v>
      </c>
      <c r="W23" s="179">
        <f>'KEEI BAU - Industry'!AM$37*'Others Split'!$D$46*'Others Split'!$I$14</f>
        <v>14861894071831.607</v>
      </c>
      <c r="X23" s="179">
        <f>'KEEI BAU - Industry'!AN$37*'Others Split'!$D$46*'Others Split'!$I$14</f>
        <v>14938752360787.498</v>
      </c>
      <c r="Y23" s="179">
        <f>'KEEI BAU - Industry'!AO$37*'Others Split'!$D$46*'Others Split'!$I$14</f>
        <v>15015610649743.416</v>
      </c>
      <c r="Z23" s="179">
        <f>'KEEI BAU - Industry'!AP$37*'Others Split'!$D$46*'Others Split'!$I$14</f>
        <v>15092468938699.311</v>
      </c>
      <c r="AA23" s="179">
        <f>'KEEI BAU - Industry'!AQ$37*'Others Split'!$D$46*'Others Split'!$I$14</f>
        <v>15169327227655.203</v>
      </c>
      <c r="AB23" s="179">
        <f>'KEEI BAU - Industry'!AR$37*'Others Split'!$D$46*'Others Split'!$I$14</f>
        <v>15246185516611.094</v>
      </c>
      <c r="AC23" s="179">
        <f>'KEEI BAU - Industry'!AS$37*'Others Split'!$D$46*'Others Split'!$I$14</f>
        <v>15323043805567.012</v>
      </c>
      <c r="AD23" s="179">
        <f>'KEEI BAU - Industry'!AT$37*'Others Split'!$D$46*'Others Split'!$I$14</f>
        <v>15399902094522.906</v>
      </c>
      <c r="AE23" s="179">
        <f>'KEEI BAU - Industry'!AU$37*'Others Split'!$D$46*'Others Split'!$I$14</f>
        <v>15476760383478.799</v>
      </c>
      <c r="AF23" s="179">
        <f>'KEEI BAU - Industry'!AV$37*'Others Split'!$D$46*'Others Split'!$I$14</f>
        <v>15553618672434.715</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179">
        <f>'Water and Waste'!D34*(1+'Water and Waste'!D40)*(1+'Water and Waste'!E40)</f>
        <v>355814807146.05389</v>
      </c>
      <c r="C25" s="179">
        <f>B25*(1+'Water and Waste'!F40)</f>
        <v>356170621953.19989</v>
      </c>
      <c r="D25" s="179">
        <f>C25*(1+'Water and Waste'!G40)</f>
        <v>356526792575.15308</v>
      </c>
      <c r="E25" s="179">
        <f>D25*(1+'Water and Waste'!H40)</f>
        <v>356883319367.72821</v>
      </c>
      <c r="F25" s="179">
        <f>E25*(1+'Water and Waste'!I40)</f>
        <v>357240202687.09589</v>
      </c>
      <c r="G25" s="179">
        <f>F25*(1+'Water and Waste'!J40)</f>
        <v>357597442889.78296</v>
      </c>
      <c r="H25" s="179">
        <f>G25*(1+'Water and Waste'!K40)</f>
        <v>357955040332.67273</v>
      </c>
      <c r="I25" s="179">
        <f>H25*(1+'Water and Waste'!L40)</f>
        <v>358312995373.00537</v>
      </c>
      <c r="J25" s="179">
        <f>I25*(1+'Water and Waste'!M40)</f>
        <v>358671308368.37836</v>
      </c>
      <c r="K25" s="179">
        <f>J25*(1+'Water and Waste'!N40)</f>
        <v>359029979676.7467</v>
      </c>
      <c r="L25" s="179">
        <f>K25*(1+'Water and Waste'!O40)</f>
        <v>359389009656.4234</v>
      </c>
      <c r="M25" s="179">
        <f>L25*(1+'Water and Waste'!P40)</f>
        <v>359748398666.07977</v>
      </c>
      <c r="N25" s="179">
        <f>M25*(1+'Water and Waste'!Q40)</f>
        <v>360108147064.74579</v>
      </c>
      <c r="O25" s="179">
        <f>N25*(1+'Water and Waste'!R40)</f>
        <v>360468255211.81049</v>
      </c>
      <c r="P25" s="179">
        <f>O25*(1+'Water and Waste'!S40)</f>
        <v>360828723467.02228</v>
      </c>
      <c r="Q25" s="179">
        <f>P25*(1+'Water and Waste'!T40)</f>
        <v>361189552190.48926</v>
      </c>
      <c r="R25" s="179">
        <f>Q25*(1+'Water and Waste'!U40)</f>
        <v>361550741742.67969</v>
      </c>
      <c r="S25" s="179">
        <f>R25*(1+'Water and Waste'!V40)</f>
        <v>361912292484.4223</v>
      </c>
      <c r="T25" s="179">
        <f>S25*(1+'Water and Waste'!W40)</f>
        <v>362274204776.90668</v>
      </c>
      <c r="U25" s="179">
        <f>T25*(1+'Water and Waste'!X40)</f>
        <v>362636478981.68353</v>
      </c>
      <c r="V25" s="179">
        <f>U25*(1+'Water and Waste'!Y40)</f>
        <v>362999115460.66516</v>
      </c>
      <c r="W25" s="179">
        <f>V25*(1+'Water and Waste'!Z40)</f>
        <v>361184119883.36182</v>
      </c>
      <c r="X25" s="179">
        <f>W25*(1+'Water and Waste'!AA40)</f>
        <v>359378199283.94501</v>
      </c>
      <c r="Y25" s="179">
        <f>X25*(1+'Water and Waste'!AB40)</f>
        <v>357581308287.52527</v>
      </c>
      <c r="Z25" s="179">
        <f>Y25*(1+'Water and Waste'!AC40)</f>
        <v>355793401746.08765</v>
      </c>
      <c r="AA25" s="179">
        <f>Z25*(1+'Water and Waste'!AD40)</f>
        <v>354014434737.35718</v>
      </c>
      <c r="AB25" s="179">
        <f>AA25*(1+'Water and Waste'!AE40)</f>
        <v>352244362563.67041</v>
      </c>
      <c r="AC25" s="179">
        <f>AB25*(1+'Water and Waste'!AF40)</f>
        <v>350483140750.85205</v>
      </c>
      <c r="AD25" s="179">
        <f>AC25*(1+'Water and Waste'!AG40)</f>
        <v>348730725047.09778</v>
      </c>
      <c r="AE25" s="179">
        <f>AD25*(1+'Water and Waste'!AH40)</f>
        <v>346987071421.8623</v>
      </c>
      <c r="AF25" s="179">
        <f>AE25*(1+'Water and Waste'!AI40)</f>
        <v>345252136064.75293</v>
      </c>
    </row>
    <row r="26" spans="1:33">
      <c r="A26" s="4" t="s">
        <v>26</v>
      </c>
      <c r="B26" s="179">
        <f>'KEEI BAU - Industry'!R$37*'Others Split'!$D$46*'Others Split'!$I$15</f>
        <v>42981369015031.453</v>
      </c>
      <c r="C26" s="179">
        <f>'KEEI BAU - Industry'!S$37*'Others Split'!$D$46*'Others Split'!$I$15</f>
        <v>43934967103184.086</v>
      </c>
      <c r="D26" s="179">
        <f>'KEEI BAU - Industry'!T$37*'Others Split'!$D$46*'Others Split'!$I$15</f>
        <v>44888565191336.727</v>
      </c>
      <c r="E26" s="179">
        <f>'KEEI BAU - Industry'!U$37*'Others Split'!$D$46*'Others Split'!$I$15</f>
        <v>45842163279489.359</v>
      </c>
      <c r="F26" s="179">
        <f>'KEEI BAU - Industry'!V$37*'Others Split'!$D$46*'Others Split'!$I$15</f>
        <v>46795761367641.992</v>
      </c>
      <c r="G26" s="179">
        <f>'KEEI BAU - Industry'!W$37*'Others Split'!$D$46*'Others Split'!$I$15</f>
        <v>47749359455794.625</v>
      </c>
      <c r="H26" s="179">
        <f>'KEEI BAU - Industry'!X$37*'Others Split'!$D$46*'Others Split'!$I$15</f>
        <v>48190032679654.773</v>
      </c>
      <c r="I26" s="179">
        <f>'KEEI BAU - Industry'!Y$37*'Others Split'!$D$46*'Others Split'!$I$15</f>
        <v>48630705903514.773</v>
      </c>
      <c r="J26" s="179">
        <f>'KEEI BAU - Industry'!Z$37*'Others Split'!$D$46*'Others Split'!$I$15</f>
        <v>49071379127374.789</v>
      </c>
      <c r="K26" s="179">
        <f>'KEEI BAU - Industry'!AA$37*'Others Split'!$D$46*'Others Split'!$I$15</f>
        <v>49512052351234.797</v>
      </c>
      <c r="L26" s="179">
        <f>'KEEI BAU - Industry'!AB$37*'Others Split'!$D$46*'Others Split'!$I$15</f>
        <v>49952725575094.898</v>
      </c>
      <c r="M26" s="179">
        <f>'KEEI BAU - Industry'!AC$37*'Others Split'!$D$46*'Others Split'!$I$15</f>
        <v>50266028132922.188</v>
      </c>
      <c r="N26" s="179">
        <f>'KEEI BAU - Industry'!AD$37*'Others Split'!$D$46*'Others Split'!$I$15</f>
        <v>50579330690749.57</v>
      </c>
      <c r="O26" s="179">
        <f>'KEEI BAU - Industry'!AE$37*'Others Split'!$D$46*'Others Split'!$I$15</f>
        <v>50892633248576.953</v>
      </c>
      <c r="P26" s="179">
        <f>'KEEI BAU - Industry'!AF$37*'Others Split'!$D$46*'Others Split'!$I$15</f>
        <v>51205935806404.336</v>
      </c>
      <c r="Q26" s="179">
        <f>'KEEI BAU - Industry'!AG$37*'Others Split'!$D$46*'Others Split'!$I$15</f>
        <v>51519238364231.695</v>
      </c>
      <c r="R26" s="179">
        <f>'KEEI BAU - Industry'!AH$37*'Others Split'!$D$46*'Others Split'!$I$15</f>
        <v>51765195512432.742</v>
      </c>
      <c r="S26" s="179">
        <f>'KEEI BAU - Industry'!AI$37*'Others Split'!$D$46*'Others Split'!$I$15</f>
        <v>52011152660633.594</v>
      </c>
      <c r="T26" s="179">
        <f>'KEEI BAU - Industry'!AJ$37*'Others Split'!$D$46*'Others Split'!$I$15</f>
        <v>52257109808834.523</v>
      </c>
      <c r="U26" s="179">
        <f>'KEEI BAU - Industry'!AK$37*'Others Split'!$D$46*'Others Split'!$I$15</f>
        <v>52503066957035.469</v>
      </c>
      <c r="V26" s="179">
        <f>'KEEI BAU - Industry'!AL$37*'Others Split'!$D$46*'Others Split'!$I$15</f>
        <v>52749024105236.313</v>
      </c>
      <c r="W26" s="179">
        <f>'KEEI BAU - Industry'!AM$37*'Others Split'!$D$46*'Others Split'!$I$15</f>
        <v>53084775132939.203</v>
      </c>
      <c r="X26" s="179">
        <f>'KEEI BAU - Industry'!AN$37*'Others Split'!$D$46*'Others Split'!$I$15</f>
        <v>53359303060981.633</v>
      </c>
      <c r="Y26" s="179">
        <f>'KEEI BAU - Industry'!AO$37*'Others Split'!$D$46*'Others Split'!$I$15</f>
        <v>53633830989024.148</v>
      </c>
      <c r="Z26" s="179">
        <f>'KEEI BAU - Industry'!AP$37*'Others Split'!$D$46*'Others Split'!$I$15</f>
        <v>53908358917066.586</v>
      </c>
      <c r="AA26" s="179">
        <f>'KEEI BAU - Industry'!AQ$37*'Others Split'!$D$46*'Others Split'!$I$15</f>
        <v>54182886845109.016</v>
      </c>
      <c r="AB26" s="179">
        <f>'KEEI BAU - Industry'!AR$37*'Others Split'!$D$46*'Others Split'!$I$15</f>
        <v>54457414773151.445</v>
      </c>
      <c r="AC26" s="179">
        <f>'KEEI BAU - Industry'!AS$37*'Others Split'!$D$46*'Others Split'!$I$15</f>
        <v>54731942701193.969</v>
      </c>
      <c r="AD26" s="179">
        <f>'KEEI BAU - Industry'!AT$37*'Others Split'!$D$46*'Others Split'!$I$15</f>
        <v>55006470629236.406</v>
      </c>
      <c r="AE26" s="179">
        <f>'KEEI BAU - Industry'!AU$37*'Others Split'!$D$46*'Others Split'!$I$15</f>
        <v>55280998557278.828</v>
      </c>
      <c r="AF26" s="179">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5"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S71" sqref="S71"/>
    </sheetView>
  </sheetViews>
  <sheetFormatPr defaultColWidth="9.08203125" defaultRowHeight="17"/>
  <cols>
    <col min="1" max="1" width="39.9140625" style="4" customWidth="1"/>
    <col min="2" max="33" width="11"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Split'!$D$47*'Others Split'!$L$6</f>
        <v>2339174908622.5283</v>
      </c>
      <c r="C2" s="179">
        <f>'KEEI BAU - Industry'!S37*'Others Split'!$D$47*'Others Split'!$L$6</f>
        <v>2391072574328.2661</v>
      </c>
      <c r="D2" s="179">
        <f>'KEEI BAU - Industry'!T37*'Others Split'!$D$47*'Others Split'!$L$6</f>
        <v>2442970240034.0039</v>
      </c>
      <c r="E2" s="179">
        <f>'KEEI BAU - Industry'!U37*'Others Split'!$D$47*'Others Split'!$L$6</f>
        <v>2494867905739.7412</v>
      </c>
      <c r="F2" s="179">
        <f>'KEEI BAU - Industry'!V37*'Others Split'!$D$47*'Others Split'!$L$6</f>
        <v>2546765571445.479</v>
      </c>
      <c r="G2" s="179">
        <f>'KEEI BAU - Industry'!W37*'Others Split'!$D$47*'Others Split'!$L$6</f>
        <v>2598663237151.2168</v>
      </c>
      <c r="H2" s="179">
        <f>'KEEI BAU - Industry'!X37*'Others Split'!$D$47*'Others Split'!$L$6</f>
        <v>2622645994605.8467</v>
      </c>
      <c r="I2" s="179">
        <f>'KEEI BAU - Industry'!Y37*'Others Split'!$D$47*'Others Split'!$L$6</f>
        <v>2646628752060.4697</v>
      </c>
      <c r="J2" s="179">
        <f>'KEEI BAU - Industry'!Z37*'Others Split'!$D$47*'Others Split'!$L$6</f>
        <v>2670611509515.0923</v>
      </c>
      <c r="K2" s="179">
        <f>'KEEI BAU - Industry'!AA37*'Others Split'!$D$47*'Others Split'!$L$6</f>
        <v>2694594266969.7153</v>
      </c>
      <c r="L2" s="179">
        <f>'KEEI BAU - Industry'!AB37*'Others Split'!$D$47*'Others Split'!$L$6</f>
        <v>2718577024424.3423</v>
      </c>
      <c r="M2" s="179">
        <f>'KEEI BAU - Industry'!AC37*'Others Split'!$D$47*'Others Split'!$L$6</f>
        <v>2735627888528.2886</v>
      </c>
      <c r="N2" s="179">
        <f>'KEEI BAU - Industry'!AD37*'Others Split'!$D$47*'Others Split'!$L$6</f>
        <v>2752678752632.2393</v>
      </c>
      <c r="O2" s="179">
        <f>'KEEI BAU - Industry'!AE37*'Others Split'!$D$47*'Others Split'!$L$6</f>
        <v>2769729616736.1909</v>
      </c>
      <c r="P2" s="179">
        <f>'KEEI BAU - Industry'!AF37*'Others Split'!$D$47*'Others Split'!$L$6</f>
        <v>2786780480840.1416</v>
      </c>
      <c r="Q2" s="179">
        <f>'KEEI BAU - Industry'!AG37*'Others Split'!$D$47*'Others Split'!$L$6</f>
        <v>2803831344944.0913</v>
      </c>
      <c r="R2" s="179">
        <f>'KEEI BAU - Industry'!AH37*'Others Split'!$D$47*'Others Split'!$L$6</f>
        <v>2817217070035.0498</v>
      </c>
      <c r="S2" s="179">
        <f>'KEEI BAU - Industry'!AI37*'Others Split'!$D$47*'Others Split'!$L$6</f>
        <v>2830602795125.9971</v>
      </c>
      <c r="T2" s="179">
        <f>'KEEI BAU - Industry'!AJ37*'Others Split'!$D$47*'Others Split'!$L$6</f>
        <v>2843988520216.9492</v>
      </c>
      <c r="U2" s="179">
        <f>'KEEI BAU - Industry'!AK37*'Others Split'!$D$47*'Others Split'!$L$6</f>
        <v>2857374245307.9014</v>
      </c>
      <c r="V2" s="179">
        <f>'KEEI BAU - Industry'!AL37*'Others Split'!$D$47*'Others Split'!$L$6</f>
        <v>2870759970398.8491</v>
      </c>
      <c r="W2" s="179">
        <f>'KEEI BAU - Industry'!AM37*'Others Split'!$D$47*'Others Split'!$L$6</f>
        <v>2889032547507.1338</v>
      </c>
      <c r="X2" s="179">
        <f>'KEEI BAU - Industry'!AN37*'Others Split'!$D$47*'Others Split'!$L$6</f>
        <v>2903973180058.145</v>
      </c>
      <c r="Y2" s="179">
        <f>'KEEI BAU - Industry'!AO37*'Others Split'!$D$47*'Others Split'!$L$6</f>
        <v>2918913812609.1606</v>
      </c>
      <c r="Z2" s="179">
        <f>'KEEI BAU - Industry'!AP37*'Others Split'!$D$47*'Others Split'!$L$6</f>
        <v>2933854445160.1719</v>
      </c>
      <c r="AA2" s="179">
        <f>'KEEI BAU - Industry'!AQ37*'Others Split'!$D$47*'Others Split'!$L$6</f>
        <v>2948795077711.1821</v>
      </c>
      <c r="AB2" s="179">
        <f>'KEEI BAU - Industry'!AR37*'Others Split'!$D$47*'Others Split'!$L$6</f>
        <v>2963735710262.1929</v>
      </c>
      <c r="AC2" s="179">
        <f>'KEEI BAU - Industry'!AS37*'Others Split'!$D$47*'Others Split'!$L$6</f>
        <v>2978676342813.209</v>
      </c>
      <c r="AD2" s="179">
        <f>'KEEI BAU - Industry'!AT37*'Others Split'!$D$47*'Others Split'!$L$6</f>
        <v>2993616975364.2197</v>
      </c>
      <c r="AE2" s="179">
        <f>'KEEI BAU - Industry'!AU37*'Others Split'!$D$47*'Others Split'!$L$6</f>
        <v>3008557607915.2305</v>
      </c>
      <c r="AF2" s="179">
        <f>'KEEI BAU - Industry'!AV37*'Others Split'!$D$47*'Others Split'!$L$6</f>
        <v>3023498240466.2461</v>
      </c>
    </row>
    <row r="3" spans="1:35">
      <c r="A3" s="4" t="s">
        <v>3</v>
      </c>
      <c r="B3" s="179">
        <f>-SUM('2019 KESIS Energy Balance'!AF36:AH36)*'KEEI BAU - Industry'!$A$44/1000*(1+'KEEI BAU - Coal Supply'!R9)</f>
        <v>15168943074.454674</v>
      </c>
      <c r="C3" s="179">
        <f>B3*(1+'KEEI BAU - Coal Supply'!S9)</f>
        <v>15347665527.729279</v>
      </c>
      <c r="D3" s="179">
        <f>C3*(1+'KEEI BAU - Coal Supply'!T9)</f>
        <v>15526387981.003881</v>
      </c>
      <c r="E3" s="179">
        <f>D3*(1+'KEEI BAU - Coal Supply'!U9)</f>
        <v>15705110434.278555</v>
      </c>
      <c r="F3" s="179">
        <f>E3*(1+'KEEI BAU - Coal Supply'!V9)</f>
        <v>15883832887.55316</v>
      </c>
      <c r="G3" s="179">
        <f>F3*(1+'KEEI BAU - Coal Supply'!W9)</f>
        <v>16062555340.827816</v>
      </c>
      <c r="H3" s="179">
        <f>G3*(1+'KEEI BAU - Coal Supply'!X9)</f>
        <v>16125424425.156385</v>
      </c>
      <c r="I3" s="179">
        <f>H3*(1+'KEEI BAU - Coal Supply'!Y9)</f>
        <v>16188293509.484972</v>
      </c>
      <c r="J3" s="179">
        <f>I3*(1+'KEEI BAU - Coal Supply'!Z9)</f>
        <v>16251162593.81354</v>
      </c>
      <c r="K3" s="179">
        <f>J3*(1+'KEEI BAU - Coal Supply'!AA9)</f>
        <v>16314031678.142128</v>
      </c>
      <c r="L3" s="179">
        <f>K3*(1+'KEEI BAU - Coal Supply'!AB9)</f>
        <v>16376900762.470707</v>
      </c>
      <c r="M3" s="179">
        <f>L3*(1+'KEEI BAU - Coal Supply'!AC9)</f>
        <v>16317860572.891884</v>
      </c>
      <c r="N3" s="179">
        <f>M3*(1+'KEEI BAU - Coal Supply'!AD9)</f>
        <v>16258820383.313053</v>
      </c>
      <c r="O3" s="179">
        <f>N3*(1+'KEEI BAU - Coal Supply'!AE9)</f>
        <v>16199780193.73424</v>
      </c>
      <c r="P3" s="179">
        <f>O3*(1+'KEEI BAU - Coal Supply'!AF9)</f>
        <v>16140740004.155409</v>
      </c>
      <c r="Q3" s="179">
        <f>P3*(1+'KEEI BAU - Coal Supply'!AG9)</f>
        <v>16081699814.576593</v>
      </c>
      <c r="R3" s="179">
        <f>Q3*(1+'KEEI BAU - Coal Supply'!AH9)</f>
        <v>15750602978.403429</v>
      </c>
      <c r="S3" s="179">
        <f>R3*(1+'KEEI BAU - Coal Supply'!AI9)</f>
        <v>15419506142.230452</v>
      </c>
      <c r="T3" s="179">
        <f>S3*(1+'KEEI BAU - Coal Supply'!AJ9)</f>
        <v>15088409306.057337</v>
      </c>
      <c r="U3" s="179">
        <f>T3*(1+'KEEI BAU - Coal Supply'!AK9)</f>
        <v>14757312469.884222</v>
      </c>
      <c r="V3" s="179">
        <f>U3*(1+'KEEI BAU - Coal Supply'!AL9)</f>
        <v>14426215633.711237</v>
      </c>
      <c r="W3" s="179">
        <f>V3*(1+'KEEI BAU - Coal Supply'!AM9)</f>
        <v>14457860992.997084</v>
      </c>
      <c r="X3" s="179">
        <f>W3*(1+'KEEI BAU - Coal Supply'!AN9)</f>
        <v>14242182128.106373</v>
      </c>
      <c r="Y3" s="179">
        <f>X3*(1+'KEEI BAU - Coal Supply'!AO9)</f>
        <v>14026503263.215731</v>
      </c>
      <c r="Z3" s="179">
        <f>Y3*(1+'KEEI BAU - Coal Supply'!AP9)</f>
        <v>13810824398.32502</v>
      </c>
      <c r="AA3" s="179">
        <f>Z3*(1+'KEEI BAU - Coal Supply'!AQ9)</f>
        <v>13595145533.434378</v>
      </c>
      <c r="AB3" s="179">
        <f>AA3*(1+'KEEI BAU - Coal Supply'!AR9)</f>
        <v>13379466668.543737</v>
      </c>
      <c r="AC3" s="179">
        <f>AB3*(1+'KEEI BAU - Coal Supply'!AS9)</f>
        <v>13163787803.653027</v>
      </c>
      <c r="AD3" s="179">
        <f>AC3*(1+'KEEI BAU - Coal Supply'!AT9)</f>
        <v>12948108938.762384</v>
      </c>
      <c r="AE3" s="179">
        <f>AD3*(1+'KEEI BAU - Coal Supply'!AU9)</f>
        <v>12732430073.871742</v>
      </c>
      <c r="AF3" s="179">
        <f>AE3*(1+'KEEI BAU - Coal Supply'!AV9)</f>
        <v>12516751208.981031</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179">
        <f>'KEEI BAU - Industry'!R$37*'Others Split'!$D$47*'Others Split'!$L$7</f>
        <v>306856295106.61951</v>
      </c>
      <c r="C5" s="179">
        <f>'KEEI BAU - Industry'!S$37*'Others Split'!$D$47*'Others Split'!$L$7</f>
        <v>313664304787.487</v>
      </c>
      <c r="D5" s="179">
        <f>'KEEI BAU - Industry'!T$37*'Others Split'!$D$47*'Others Split'!$L$7</f>
        <v>320472314468.35455</v>
      </c>
      <c r="E5" s="179">
        <f>'KEEI BAU - Industry'!U$37*'Others Split'!$D$47*'Others Split'!$L$7</f>
        <v>327280324149.22198</v>
      </c>
      <c r="F5" s="179">
        <f>'KEEI BAU - Industry'!V$37*'Others Split'!$D$47*'Others Split'!$L$7</f>
        <v>334088333830.08948</v>
      </c>
      <c r="G5" s="179">
        <f>'KEEI BAU - Industry'!W$37*'Others Split'!$D$47*'Others Split'!$L$7</f>
        <v>340896343510.95697</v>
      </c>
      <c r="H5" s="179">
        <f>'KEEI BAU - Industry'!X$37*'Others Split'!$D$47*'Others Split'!$L$7</f>
        <v>344042435781.28754</v>
      </c>
      <c r="I5" s="179">
        <f>'KEEI BAU - Industry'!Y$37*'Others Split'!$D$47*'Others Split'!$L$7</f>
        <v>347188528051.61707</v>
      </c>
      <c r="J5" s="179">
        <f>'KEEI BAU - Industry'!Z$37*'Others Split'!$D$47*'Others Split'!$L$7</f>
        <v>350334620321.94666</v>
      </c>
      <c r="K5" s="179">
        <f>'KEEI BAU - Industry'!AA$37*'Others Split'!$D$47*'Others Split'!$L$7</f>
        <v>353480712592.27618</v>
      </c>
      <c r="L5" s="179">
        <f>'KEEI BAU - Industry'!AB$37*'Others Split'!$D$47*'Others Split'!$L$7</f>
        <v>356626804862.60638</v>
      </c>
      <c r="M5" s="179">
        <f>'KEEI BAU - Industry'!AC$37*'Others Split'!$D$47*'Others Split'!$L$7</f>
        <v>358863561493.33838</v>
      </c>
      <c r="N5" s="179">
        <f>'KEEI BAU - Industry'!AD$37*'Others Split'!$D$47*'Others Split'!$L$7</f>
        <v>361100318124.07098</v>
      </c>
      <c r="O5" s="179">
        <f>'KEEI BAU - Industry'!AE$37*'Others Split'!$D$47*'Others Split'!$L$7</f>
        <v>363337074754.80365</v>
      </c>
      <c r="P5" s="179">
        <f>'KEEI BAU - Industry'!AF$37*'Others Split'!$D$47*'Others Split'!$L$7</f>
        <v>365573831385.53625</v>
      </c>
      <c r="Q5" s="179">
        <f>'KEEI BAU - Industry'!AG$37*'Others Split'!$D$47*'Others Split'!$L$7</f>
        <v>367810588016.26874</v>
      </c>
      <c r="R5" s="179">
        <f>'KEEI BAU - Industry'!AH$37*'Others Split'!$D$47*'Others Split'!$L$7</f>
        <v>369566546492.7326</v>
      </c>
      <c r="S5" s="179">
        <f>'KEEI BAU - Industry'!AI$37*'Others Split'!$D$47*'Others Split'!$L$7</f>
        <v>371322504969.19495</v>
      </c>
      <c r="T5" s="179">
        <f>'KEEI BAU - Industry'!AJ$37*'Others Split'!$D$47*'Others Split'!$L$7</f>
        <v>373078463445.65796</v>
      </c>
      <c r="U5" s="179">
        <f>'KEEI BAU - Industry'!AK$37*'Others Split'!$D$47*'Others Split'!$L$7</f>
        <v>374834421922.12097</v>
      </c>
      <c r="V5" s="179">
        <f>'KEEI BAU - Industry'!AL$37*'Others Split'!$D$47*'Others Split'!$L$7</f>
        <v>376590380398.58337</v>
      </c>
      <c r="W5" s="179">
        <f>'KEEI BAU - Industry'!AM$37*'Others Split'!$D$47*'Others Split'!$L$7</f>
        <v>378987403080.73938</v>
      </c>
      <c r="X5" s="179">
        <f>'KEEI BAU - Industry'!AN$37*'Others Split'!$D$47*'Others Split'!$L$7</f>
        <v>380947336531.74078</v>
      </c>
      <c r="Y5" s="179">
        <f>'KEEI BAU - Industry'!AO$37*'Others Split'!$D$47*'Others Split'!$L$7</f>
        <v>382907269982.74292</v>
      </c>
      <c r="Z5" s="179">
        <f>'KEEI BAU - Industry'!AP$37*'Others Split'!$D$47*'Others Split'!$L$7</f>
        <v>384867203433.74438</v>
      </c>
      <c r="AA5" s="179">
        <f>'KEEI BAU - Industry'!AQ$37*'Others Split'!$D$47*'Others Split'!$L$7</f>
        <v>386827136884.74573</v>
      </c>
      <c r="AB5" s="179">
        <f>'KEEI BAU - Industry'!AR$37*'Others Split'!$D$47*'Others Split'!$L$7</f>
        <v>388787070335.74719</v>
      </c>
      <c r="AC5" s="179">
        <f>'KEEI BAU - Industry'!AS$37*'Others Split'!$D$47*'Others Split'!$L$7</f>
        <v>390747003786.74933</v>
      </c>
      <c r="AD5" s="179">
        <f>'KEEI BAU - Industry'!AT$37*'Others Split'!$D$47*'Others Split'!$L$7</f>
        <v>392706937237.75079</v>
      </c>
      <c r="AE5" s="179">
        <f>'KEEI BAU - Industry'!AU$37*'Others Split'!$D$47*'Others Split'!$L$7</f>
        <v>394666870688.7522</v>
      </c>
      <c r="AF5" s="179">
        <f>'KEEI BAU - Industry'!AV$37*'Others Split'!$D$47*'Others Split'!$L$7</f>
        <v>396626804139.75427</v>
      </c>
    </row>
    <row r="6" spans="1:35">
      <c r="A6" s="4" t="s">
        <v>6</v>
      </c>
      <c r="B6" s="179">
        <f>'KEEI BAU - Industry'!R$37*'Others Split'!$D$47*'Others Split'!$L$8</f>
        <v>1365543341655.1724</v>
      </c>
      <c r="C6" s="179">
        <f>'KEEI BAU - Industry'!S$37*'Others Split'!$D$47*'Others Split'!$L$8</f>
        <v>1395839713076.8582</v>
      </c>
      <c r="D6" s="179">
        <f>'KEEI BAU - Industry'!T$37*'Others Split'!$D$47*'Others Split'!$L$8</f>
        <v>1426136084498.5442</v>
      </c>
      <c r="E6" s="179">
        <f>'KEEI BAU - Industry'!U$37*'Others Split'!$D$47*'Others Split'!$L$8</f>
        <v>1456432455920.2297</v>
      </c>
      <c r="F6" s="179">
        <f>'KEEI BAU - Industry'!V$37*'Others Split'!$D$47*'Others Split'!$L$8</f>
        <v>1486728827341.9155</v>
      </c>
      <c r="G6" s="179">
        <f>'KEEI BAU - Industry'!W$37*'Others Split'!$D$47*'Others Split'!$L$8</f>
        <v>1517025198763.6013</v>
      </c>
      <c r="H6" s="179">
        <f>'KEEI BAU - Industry'!X$37*'Others Split'!$D$47*'Others Split'!$L$8</f>
        <v>1531025645945.2046</v>
      </c>
      <c r="I6" s="179">
        <f>'KEEI BAU - Industry'!Y$37*'Others Split'!$D$47*'Others Split'!$L$8</f>
        <v>1545026093126.8035</v>
      </c>
      <c r="J6" s="179">
        <f>'KEEI BAU - Industry'!Z$37*'Others Split'!$D$47*'Others Split'!$L$8</f>
        <v>1559026540308.4023</v>
      </c>
      <c r="K6" s="179">
        <f>'KEEI BAU - Industry'!AA$37*'Others Split'!$D$47*'Others Split'!$L$8</f>
        <v>1573026987490.0012</v>
      </c>
      <c r="L6" s="179">
        <f>'KEEI BAU - Industry'!AB$37*'Others Split'!$D$47*'Others Split'!$L$8</f>
        <v>1587027434671.6028</v>
      </c>
      <c r="M6" s="179">
        <f>'KEEI BAU - Industry'!AC$37*'Others Split'!$D$47*'Others Split'!$L$8</f>
        <v>1596981240973.4675</v>
      </c>
      <c r="N6" s="179">
        <f>'KEEI BAU - Industry'!AD$37*'Others Split'!$D$47*'Others Split'!$L$8</f>
        <v>1606935047275.335</v>
      </c>
      <c r="O6" s="179">
        <f>'KEEI BAU - Industry'!AE$37*'Others Split'!$D$47*'Others Split'!$L$8</f>
        <v>1616888853577.2029</v>
      </c>
      <c r="P6" s="179">
        <f>'KEEI BAU - Industry'!AF$37*'Others Split'!$D$47*'Others Split'!$L$8</f>
        <v>1626842659879.0703</v>
      </c>
      <c r="Q6" s="179">
        <f>'KEEI BAU - Industry'!AG$37*'Others Split'!$D$47*'Others Split'!$L$8</f>
        <v>1636796466180.937</v>
      </c>
      <c r="R6" s="179">
        <f>'KEEI BAU - Industry'!AH$37*'Others Split'!$D$47*'Others Split'!$L$8</f>
        <v>1644610669259.0425</v>
      </c>
      <c r="S6" s="179">
        <f>'KEEI BAU - Industry'!AI$37*'Others Split'!$D$47*'Others Split'!$L$8</f>
        <v>1652424872337.1411</v>
      </c>
      <c r="T6" s="179">
        <f>'KEEI BAU - Industry'!AJ$37*'Others Split'!$D$47*'Others Split'!$L$8</f>
        <v>1660239075415.2429</v>
      </c>
      <c r="U6" s="179">
        <f>'KEEI BAU - Industry'!AK$37*'Others Split'!$D$47*'Others Split'!$L$8</f>
        <v>1668053278493.3445</v>
      </c>
      <c r="V6" s="179">
        <f>'KEEI BAU - Industry'!AL$37*'Others Split'!$D$47*'Others Split'!$L$8</f>
        <v>1675867481571.4436</v>
      </c>
      <c r="W6" s="179">
        <f>'KEEI BAU - Industry'!AM$37*'Others Split'!$D$47*'Others Split'!$L$8</f>
        <v>1686534488947.9004</v>
      </c>
      <c r="X6" s="179">
        <f>'KEEI BAU - Industry'!AN$37*'Others Split'!$D$47*'Others Split'!$L$8</f>
        <v>1695256402484.5686</v>
      </c>
      <c r="Y6" s="179">
        <f>'KEEI BAU - Industry'!AO$37*'Others Split'!$D$47*'Others Split'!$L$8</f>
        <v>1703978316021.2397</v>
      </c>
      <c r="Z6" s="179">
        <f>'KEEI BAU - Industry'!AP$37*'Others Split'!$D$47*'Others Split'!$L$8</f>
        <v>1712700229557.908</v>
      </c>
      <c r="AA6" s="179">
        <f>'KEEI BAU - Industry'!AQ$37*'Others Split'!$D$47*'Others Split'!$L$8</f>
        <v>1721422143094.5759</v>
      </c>
      <c r="AB6" s="179">
        <f>'KEEI BAU - Industry'!AR$37*'Others Split'!$D$47*'Others Split'!$L$8</f>
        <v>1730144056631.2439</v>
      </c>
      <c r="AC6" s="179">
        <f>'KEEI BAU - Industry'!AS$37*'Others Split'!$D$47*'Others Split'!$L$8</f>
        <v>1738865970167.9153</v>
      </c>
      <c r="AD6" s="179">
        <f>'KEEI BAU - Industry'!AT$37*'Others Split'!$D$47*'Others Split'!$L$8</f>
        <v>1747587883704.5835</v>
      </c>
      <c r="AE6" s="179">
        <f>'KEEI BAU - Industry'!AU$37*'Others Split'!$D$47*'Others Split'!$L$8</f>
        <v>1756309797241.2515</v>
      </c>
      <c r="AF6" s="179">
        <f>'KEEI BAU - Industry'!AV$37*'Others Split'!$D$47*'Others Split'!$L$8</f>
        <v>1765031710777.9224</v>
      </c>
    </row>
    <row r="7" spans="1:35">
      <c r="A7" s="4" t="s">
        <v>7</v>
      </c>
      <c r="B7" s="179">
        <f>'KEEI BAU - Industry'!R$37*'Others Split'!$D$47*'Others Split'!$L$9</f>
        <v>1062029577675.9542</v>
      </c>
      <c r="C7" s="179">
        <f>'KEEI BAU - Industry'!S$37*'Others Split'!$D$47*'Others Split'!$L$9</f>
        <v>1085592097857.1788</v>
      </c>
      <c r="D7" s="179">
        <f>'KEEI BAU - Industry'!T$37*'Others Split'!$D$47*'Others Split'!$L$9</f>
        <v>1109154618038.4036</v>
      </c>
      <c r="E7" s="179">
        <f>'KEEI BAU - Industry'!U$37*'Others Split'!$D$47*'Others Split'!$L$9</f>
        <v>1132717138219.6279</v>
      </c>
      <c r="F7" s="179">
        <f>'KEEI BAU - Industry'!V$37*'Others Split'!$D$47*'Others Split'!$L$9</f>
        <v>1156279658400.8525</v>
      </c>
      <c r="G7" s="179">
        <f>'KEEI BAU - Industry'!W$37*'Others Split'!$D$47*'Others Split'!$L$9</f>
        <v>1179842178582.0769</v>
      </c>
      <c r="H7" s="179">
        <f>'KEEI BAU - Industry'!X$37*'Others Split'!$D$47*'Others Split'!$L$9</f>
        <v>1190730803317.7297</v>
      </c>
      <c r="I7" s="179">
        <f>'KEEI BAU - Industry'!Y$37*'Others Split'!$D$47*'Others Split'!$L$9</f>
        <v>1201619428053.3794</v>
      </c>
      <c r="J7" s="179">
        <f>'KEEI BAU - Industry'!Z$37*'Others Split'!$D$47*'Others Split'!$L$9</f>
        <v>1212508052789.0288</v>
      </c>
      <c r="K7" s="179">
        <f>'KEEI BAU - Industry'!AA$37*'Others Split'!$D$47*'Others Split'!$L$9</f>
        <v>1223396677524.6782</v>
      </c>
      <c r="L7" s="179">
        <f>'KEEI BAU - Industry'!AB$37*'Others Split'!$D$47*'Others Split'!$L$9</f>
        <v>1234285302260.3298</v>
      </c>
      <c r="M7" s="179">
        <f>'KEEI BAU - Industry'!AC$37*'Others Split'!$D$47*'Others Split'!$L$9</f>
        <v>1242026716524.2112</v>
      </c>
      <c r="N7" s="179">
        <f>'KEEI BAU - Industry'!AD$37*'Others Split'!$D$47*'Others Split'!$L$9</f>
        <v>1249768130788.0947</v>
      </c>
      <c r="O7" s="179">
        <f>'KEEI BAU - Industry'!AE$37*'Others Split'!$D$47*'Others Split'!$L$9</f>
        <v>1257509545051.9785</v>
      </c>
      <c r="P7" s="179">
        <f>'KEEI BAU - Industry'!AF$37*'Others Split'!$D$47*'Others Split'!$L$9</f>
        <v>1265250959315.8621</v>
      </c>
      <c r="Q7" s="179">
        <f>'KEEI BAU - Industry'!AG$37*'Others Split'!$D$47*'Others Split'!$L$9</f>
        <v>1272992373579.7451</v>
      </c>
      <c r="R7" s="179">
        <f>'KEEI BAU - Industry'!AH$37*'Others Split'!$D$47*'Others Split'!$L$9</f>
        <v>1279069745525.2268</v>
      </c>
      <c r="S7" s="179">
        <f>'KEEI BAU - Industry'!AI$37*'Others Split'!$D$47*'Others Split'!$L$9</f>
        <v>1285147117470.7034</v>
      </c>
      <c r="T7" s="179">
        <f>'KEEI BAU - Industry'!AJ$37*'Others Split'!$D$47*'Others Split'!$L$9</f>
        <v>1291224489416.1821</v>
      </c>
      <c r="U7" s="179">
        <f>'KEEI BAU - Industry'!AK$37*'Others Split'!$D$47*'Others Split'!$L$9</f>
        <v>1297301861361.6609</v>
      </c>
      <c r="V7" s="179">
        <f>'KEEI BAU - Industry'!AL$37*'Others Split'!$D$47*'Others Split'!$L$9</f>
        <v>1303379233307.1377</v>
      </c>
      <c r="W7" s="179">
        <f>'KEEI BAU - Industry'!AM$37*'Others Split'!$D$47*'Others Split'!$L$9</f>
        <v>1311675328343.8232</v>
      </c>
      <c r="X7" s="179">
        <f>'KEEI BAU - Industry'!AN$37*'Others Split'!$D$47*'Others Split'!$L$9</f>
        <v>1318458657636.5034</v>
      </c>
      <c r="Y7" s="179">
        <f>'KEEI BAU - Industry'!AO$37*'Others Split'!$D$47*'Others Split'!$L$9</f>
        <v>1325241986929.186</v>
      </c>
      <c r="Z7" s="179">
        <f>'KEEI BAU - Industry'!AP$37*'Others Split'!$D$47*'Others Split'!$L$9</f>
        <v>1332025316221.8662</v>
      </c>
      <c r="AA7" s="179">
        <f>'KEEI BAU - Industry'!AQ$37*'Others Split'!$D$47*'Others Split'!$L$9</f>
        <v>1338808645514.5461</v>
      </c>
      <c r="AB7" s="179">
        <f>'KEEI BAU - Industry'!AR$37*'Others Split'!$D$47*'Others Split'!$L$9</f>
        <v>1345591974807.2263</v>
      </c>
      <c r="AC7" s="179">
        <f>'KEEI BAU - Industry'!AS$37*'Others Split'!$D$47*'Others Split'!$L$9</f>
        <v>1352375304099.9087</v>
      </c>
      <c r="AD7" s="179">
        <f>'KEEI BAU - Industry'!AT$37*'Others Split'!$D$47*'Others Split'!$L$9</f>
        <v>1359158633392.5889</v>
      </c>
      <c r="AE7" s="179">
        <f>'KEEI BAU - Industry'!AU$37*'Others Split'!$D$47*'Others Split'!$L$9</f>
        <v>1365941962685.269</v>
      </c>
      <c r="AF7" s="179">
        <f>'KEEI BAU - Industry'!AV$37*'Others Split'!$D$47*'Others Split'!$L$9</f>
        <v>1372725291977.9514</v>
      </c>
    </row>
    <row r="8" spans="1:35">
      <c r="A8" s="4" t="s">
        <v>8</v>
      </c>
      <c r="B8" s="179">
        <f>'KEEI BAU - Industry'!R$37*'Others Split'!$D$47*'Others Split'!$L$10</f>
        <v>74848822031.453201</v>
      </c>
      <c r="C8" s="179">
        <f>'KEEI BAU - Industry'!S$37*'Others Split'!$D$47*'Others Split'!$L$10</f>
        <v>76509441393.407654</v>
      </c>
      <c r="D8" s="179">
        <f>'KEEI BAU - Industry'!T$37*'Others Split'!$D$47*'Others Split'!$L$10</f>
        <v>78170060755.362106</v>
      </c>
      <c r="E8" s="179">
        <f>'KEEI BAU - Industry'!U$37*'Others Split'!$D$47*'Others Split'!$L$10</f>
        <v>79830680117.316559</v>
      </c>
      <c r="F8" s="179">
        <f>'KEEI BAU - Industry'!V$37*'Others Split'!$D$47*'Others Split'!$L$10</f>
        <v>81491299479.271011</v>
      </c>
      <c r="G8" s="179">
        <f>'KEEI BAU - Industry'!W$37*'Others Split'!$D$47*'Others Split'!$L$10</f>
        <v>83151918841.225464</v>
      </c>
      <c r="H8" s="179">
        <f>'KEEI BAU - Industry'!X$37*'Others Split'!$D$47*'Others Split'!$L$10</f>
        <v>83919318122.881653</v>
      </c>
      <c r="I8" s="179">
        <f>'KEEI BAU - Industry'!Y$37*'Others Split'!$D$47*'Others Split'!$L$10</f>
        <v>84686717404.537613</v>
      </c>
      <c r="J8" s="179">
        <f>'KEEI BAU - Industry'!Z$37*'Others Split'!$D$47*'Others Split'!$L$10</f>
        <v>85454116686.193573</v>
      </c>
      <c r="K8" s="179">
        <f>'KEEI BAU - Industry'!AA$37*'Others Split'!$D$47*'Others Split'!$L$10</f>
        <v>86221515967.849533</v>
      </c>
      <c r="L8" s="179">
        <f>'KEEI BAU - Industry'!AB$37*'Others Split'!$D$47*'Others Split'!$L$10</f>
        <v>86988915249.50563</v>
      </c>
      <c r="M8" s="179">
        <f>'KEEI BAU - Industry'!AC$37*'Others Split'!$D$47*'Others Split'!$L$10</f>
        <v>87534508094.270844</v>
      </c>
      <c r="N8" s="179">
        <f>'KEEI BAU - Industry'!AD$37*'Others Split'!$D$47*'Others Split'!$L$10</f>
        <v>88080100939.036194</v>
      </c>
      <c r="O8" s="179">
        <f>'KEEI BAU - Industry'!AE$37*'Others Split'!$D$47*'Others Split'!$L$10</f>
        <v>88625693783.801575</v>
      </c>
      <c r="P8" s="179">
        <f>'KEEI BAU - Industry'!AF$37*'Others Split'!$D$47*'Others Split'!$L$10</f>
        <v>89171286628.566925</v>
      </c>
      <c r="Q8" s="179">
        <f>'KEEI BAU - Industry'!AG$37*'Others Split'!$D$47*'Others Split'!$L$10</f>
        <v>89716879473.332245</v>
      </c>
      <c r="R8" s="179">
        <f>'KEEI BAU - Industry'!AH$37*'Others Split'!$D$47*'Others Split'!$L$10</f>
        <v>90145195351.466003</v>
      </c>
      <c r="S8" s="179">
        <f>'KEEI BAU - Industry'!AI$37*'Others Split'!$D$47*'Others Split'!$L$10</f>
        <v>90573511229.599396</v>
      </c>
      <c r="T8" s="179">
        <f>'KEEI BAU - Industry'!AJ$37*'Others Split'!$D$47*'Others Split'!$L$10</f>
        <v>91001827107.732956</v>
      </c>
      <c r="U8" s="179">
        <f>'KEEI BAU - Industry'!AK$37*'Others Split'!$D$47*'Others Split'!$L$10</f>
        <v>91430142985.866516</v>
      </c>
      <c r="V8" s="179">
        <f>'KEEI BAU - Industry'!AL$37*'Others Split'!$D$47*'Others Split'!$L$10</f>
        <v>91858458863.999924</v>
      </c>
      <c r="W8" s="179">
        <f>'KEEI BAU - Industry'!AM$37*'Others Split'!$D$47*'Others Split'!$L$10</f>
        <v>92443144030.975922</v>
      </c>
      <c r="X8" s="179">
        <f>'KEEI BAU - Industry'!AN$37*'Others Split'!$D$47*'Others Split'!$L$10</f>
        <v>92921213773.741104</v>
      </c>
      <c r="Y8" s="179">
        <f>'KEEI BAU - Industry'!AO$37*'Others Split'!$D$47*'Others Split'!$L$10</f>
        <v>93399283516.506454</v>
      </c>
      <c r="Z8" s="179">
        <f>'KEEI BAU - Industry'!AP$37*'Others Split'!$D$47*'Others Split'!$L$10</f>
        <v>93877353259.271637</v>
      </c>
      <c r="AA8" s="179">
        <f>'KEEI BAU - Industry'!AQ$37*'Others Split'!$D$47*'Others Split'!$L$10</f>
        <v>94355423002.036804</v>
      </c>
      <c r="AB8" s="179">
        <f>'KEEI BAU - Industry'!AR$37*'Others Split'!$D$47*'Others Split'!$L$10</f>
        <v>94833492744.801987</v>
      </c>
      <c r="AC8" s="179">
        <f>'KEEI BAU - Industry'!AS$37*'Others Split'!$D$47*'Others Split'!$L$10</f>
        <v>95311562487.567337</v>
      </c>
      <c r="AD8" s="179">
        <f>'KEEI BAU - Industry'!AT$37*'Others Split'!$D$47*'Others Split'!$L$10</f>
        <v>95789632230.33252</v>
      </c>
      <c r="AE8" s="179">
        <f>'KEEI BAU - Industry'!AU$37*'Others Split'!$D$47*'Others Split'!$L$10</f>
        <v>96267701973.097717</v>
      </c>
      <c r="AF8" s="179">
        <f>'KEEI BAU - Industry'!AV$37*'Others Split'!$D$47*'Others Split'!$L$10</f>
        <v>96745771715.863037</v>
      </c>
    </row>
    <row r="9" spans="1:35">
      <c r="A9" s="4" t="s">
        <v>9</v>
      </c>
      <c r="B9" s="179">
        <f>'KEEI BAU - Industry'!R$37*'Others Split'!$D$47*'Others Split'!$L$11</f>
        <v>1087098561131.465</v>
      </c>
      <c r="C9" s="179">
        <f>'KEEI BAU - Industry'!S$37*'Others Split'!$D$47*'Others Split'!$L$11</f>
        <v>1111217269615.7366</v>
      </c>
      <c r="D9" s="179">
        <f>'KEEI BAU - Industry'!T$37*'Others Split'!$D$47*'Others Split'!$L$11</f>
        <v>1135335978100.0081</v>
      </c>
      <c r="E9" s="179">
        <f>'KEEI BAU - Industry'!U$37*'Others Split'!$D$47*'Others Split'!$L$11</f>
        <v>1159454686584.2795</v>
      </c>
      <c r="F9" s="179">
        <f>'KEEI BAU - Industry'!V$37*'Others Split'!$D$47*'Others Split'!$L$11</f>
        <v>1183573395068.551</v>
      </c>
      <c r="G9" s="179">
        <f>'KEEI BAU - Industry'!W$37*'Others Split'!$D$47*'Others Split'!$L$11</f>
        <v>1207692103552.8225</v>
      </c>
      <c r="H9" s="179">
        <f>'KEEI BAU - Industry'!X$37*'Others Split'!$D$47*'Others Split'!$L$11</f>
        <v>1218837751971.3267</v>
      </c>
      <c r="I9" s="179">
        <f>'KEEI BAU - Industry'!Y$37*'Others Split'!$D$47*'Others Split'!$L$11</f>
        <v>1229983400389.8274</v>
      </c>
      <c r="J9" s="179">
        <f>'KEEI BAU - Industry'!Z$37*'Others Split'!$D$47*'Others Split'!$L$11</f>
        <v>1241129048808.3281</v>
      </c>
      <c r="K9" s="179">
        <f>'KEEI BAU - Industry'!AA$37*'Others Split'!$D$47*'Others Split'!$L$11</f>
        <v>1252274697226.8289</v>
      </c>
      <c r="L9" s="179">
        <f>'KEEI BAU - Industry'!AB$37*'Others Split'!$D$47*'Others Split'!$L$11</f>
        <v>1263420345645.3318</v>
      </c>
      <c r="M9" s="179">
        <f>'KEEI BAU - Industry'!AC$37*'Others Split'!$D$47*'Others Split'!$L$11</f>
        <v>1271344494354.8284</v>
      </c>
      <c r="N9" s="179">
        <f>'KEEI BAU - Industry'!AD$37*'Others Split'!$D$47*'Others Split'!$L$11</f>
        <v>1279268643064.3271</v>
      </c>
      <c r="O9" s="179">
        <f>'KEEI BAU - Industry'!AE$37*'Others Split'!$D$47*'Others Split'!$L$11</f>
        <v>1287192791773.8262</v>
      </c>
      <c r="P9" s="179">
        <f>'KEEI BAU - Industry'!AF$37*'Others Split'!$D$47*'Others Split'!$L$11</f>
        <v>1295116940483.325</v>
      </c>
      <c r="Q9" s="179">
        <f>'KEEI BAU - Industry'!AG$37*'Others Split'!$D$47*'Others Split'!$L$11</f>
        <v>1303041089192.823</v>
      </c>
      <c r="R9" s="179">
        <f>'KEEI BAU - Industry'!AH$37*'Others Split'!$D$47*'Others Split'!$L$11</f>
        <v>1309261916217.1055</v>
      </c>
      <c r="S9" s="179">
        <f>'KEEI BAU - Industry'!AI$37*'Others Split'!$D$47*'Others Split'!$L$11</f>
        <v>1315482743241.3826</v>
      </c>
      <c r="T9" s="179">
        <f>'KEEI BAU - Industry'!AJ$37*'Others Split'!$D$47*'Others Split'!$L$11</f>
        <v>1321703570265.6621</v>
      </c>
      <c r="U9" s="179">
        <f>'KEEI BAU - Industry'!AK$37*'Others Split'!$D$47*'Others Split'!$L$11</f>
        <v>1327924397289.9417</v>
      </c>
      <c r="V9" s="179">
        <f>'KEEI BAU - Industry'!AL$37*'Others Split'!$D$47*'Others Split'!$L$11</f>
        <v>1334145224314.219</v>
      </c>
      <c r="W9" s="179">
        <f>'KEEI BAU - Industry'!AM$37*'Others Split'!$D$47*'Others Split'!$L$11</f>
        <v>1342637146918.7915</v>
      </c>
      <c r="X9" s="179">
        <f>'KEEI BAU - Industry'!AN$37*'Others Split'!$D$47*'Others Split'!$L$11</f>
        <v>1349580595264.0723</v>
      </c>
      <c r="Y9" s="179">
        <f>'KEEI BAU - Industry'!AO$37*'Others Split'!$D$47*'Others Split'!$L$11</f>
        <v>1356524043609.3557</v>
      </c>
      <c r="Z9" s="179">
        <f>'KEEI BAU - Industry'!AP$37*'Others Split'!$D$47*'Others Split'!$L$11</f>
        <v>1363467491954.6367</v>
      </c>
      <c r="AA9" s="179">
        <f>'KEEI BAU - Industry'!AQ$37*'Others Split'!$D$47*'Others Split'!$L$11</f>
        <v>1370410940299.9175</v>
      </c>
      <c r="AB9" s="179">
        <f>'KEEI BAU - Industry'!AR$37*'Others Split'!$D$47*'Others Split'!$L$11</f>
        <v>1377354388645.1982</v>
      </c>
      <c r="AC9" s="179">
        <f>'KEEI BAU - Industry'!AS$37*'Others Split'!$D$47*'Others Split'!$L$11</f>
        <v>1384297836990.4817</v>
      </c>
      <c r="AD9" s="179">
        <f>'KEEI BAU - Industry'!AT$37*'Others Split'!$D$47*'Others Split'!$L$11</f>
        <v>1391241285335.7627</v>
      </c>
      <c r="AE9" s="179">
        <f>'KEEI BAU - Industry'!AU$37*'Others Split'!$D$47*'Others Split'!$L$11</f>
        <v>1398184733681.0437</v>
      </c>
      <c r="AF9" s="179">
        <f>'KEEI BAU - Industry'!AV$37*'Others Split'!$D$47*'Others Split'!$L$11</f>
        <v>1405128182026.3267</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Split'!$D$38*'Petrochemicals Split'!$I$6</f>
        <v>262428026574808.66</v>
      </c>
      <c r="C11" s="179">
        <f>'KEEI BAU - Industry'!S$9*'Petrochemicals Split'!$D$38*'Petrochemicals Split'!$I$6</f>
        <v>271032906555170.41</v>
      </c>
      <c r="D11" s="179">
        <f>'KEEI BAU - Industry'!T$9*'Petrochemicals Split'!$D$38*'Petrochemicals Split'!$I$6</f>
        <v>279637786535532.22</v>
      </c>
      <c r="E11" s="179">
        <f>'KEEI BAU - Industry'!U$9*'Petrochemicals Split'!$D$38*'Petrochemicals Split'!$I$6</f>
        <v>288242666515893.94</v>
      </c>
      <c r="F11" s="179">
        <f>'KEEI BAU - Industry'!V$9*'Petrochemicals Split'!$D$38*'Petrochemicals Split'!$I$6</f>
        <v>296847546496255.81</v>
      </c>
      <c r="G11" s="179">
        <f>'KEEI BAU - Industry'!W$9*'Petrochemicals Split'!$D$38*'Petrochemicals Split'!$I$6</f>
        <v>305452426476617.56</v>
      </c>
      <c r="H11" s="179">
        <f>'KEEI BAU - Industry'!X$9*'Petrochemicals Split'!$D$38*'Petrochemicals Split'!$I$6</f>
        <v>307223788841711.75</v>
      </c>
      <c r="I11" s="179">
        <f>'KEEI BAU - Industry'!Y$9*'Petrochemicals Split'!$D$38*'Petrochemicals Split'!$I$6</f>
        <v>308995151206805.5</v>
      </c>
      <c r="J11" s="179">
        <f>'KEEI BAU - Industry'!Z$9*'Petrochemicals Split'!$D$38*'Petrochemicals Split'!$I$6</f>
        <v>310766513571899.75</v>
      </c>
      <c r="K11" s="179">
        <f>'KEEI BAU - Industry'!AA$9*'Petrochemicals Split'!$D$38*'Petrochemicals Split'!$I$6</f>
        <v>312537875936993.5</v>
      </c>
      <c r="L11" s="179">
        <f>'KEEI BAU - Industry'!AB$9*'Petrochemicals Split'!$D$38*'Petrochemicals Split'!$I$6</f>
        <v>314309238302087.44</v>
      </c>
      <c r="M11" s="179">
        <f>'KEEI BAU - Industry'!AC$9*'Petrochemicals Split'!$D$38*'Petrochemicals Split'!$I$6</f>
        <v>315072408304698.38</v>
      </c>
      <c r="N11" s="179">
        <f>'KEEI BAU - Industry'!AD$9*'Petrochemicals Split'!$D$38*'Petrochemicals Split'!$I$6</f>
        <v>315835578307309.5</v>
      </c>
      <c r="O11" s="179">
        <f>'KEEI BAU - Industry'!AE$9*'Petrochemicals Split'!$D$38*'Petrochemicals Split'!$I$6</f>
        <v>316598748309920.69</v>
      </c>
      <c r="P11" s="179">
        <f>'KEEI BAU - Industry'!AF$9*'Petrochemicals Split'!$D$38*'Petrochemicals Split'!$I$6</f>
        <v>317361918312531.81</v>
      </c>
      <c r="Q11" s="179">
        <f>'KEEI BAU - Industry'!AG$9*'Petrochemicals Split'!$D$38*'Petrochemicals Split'!$I$6</f>
        <v>318125088315143.13</v>
      </c>
      <c r="R11" s="179">
        <f>'KEEI BAU - Industry'!AH$9*'Petrochemicals Split'!$D$38*'Petrochemicals Split'!$I$6</f>
        <v>318448271929597.63</v>
      </c>
      <c r="S11" s="179">
        <f>'KEEI BAU - Industry'!AI$9*'Petrochemicals Split'!$D$38*'Petrochemicals Split'!$I$6</f>
        <v>318771455544052.06</v>
      </c>
      <c r="T11" s="179">
        <f>'KEEI BAU - Industry'!AJ$9*'Petrochemicals Split'!$D$38*'Petrochemicals Split'!$I$6</f>
        <v>319094639158506.44</v>
      </c>
      <c r="U11" s="179">
        <f>'KEEI BAU - Industry'!AK$9*'Petrochemicals Split'!$D$38*'Petrochemicals Split'!$I$6</f>
        <v>319417822772960.88</v>
      </c>
      <c r="V11" s="179">
        <f>'KEEI BAU - Industry'!AL$9*'Petrochemicals Split'!$D$38*'Petrochemicals Split'!$I$6</f>
        <v>319741006387415.31</v>
      </c>
      <c r="W11" s="179">
        <f>'KEEI BAU - Industry'!AM$9*'Petrochemicals Split'!$D$38*'Petrochemicals Split'!$I$6</f>
        <v>320650838519412.13</v>
      </c>
      <c r="X11" s="179">
        <f>'KEEI BAU - Industry'!AN$9*'Petrochemicals Split'!$D$38*'Petrochemicals Split'!$I$6</f>
        <v>321160683025811.88</v>
      </c>
      <c r="Y11" s="179">
        <f>'KEEI BAU - Industry'!AO$9*'Petrochemicals Split'!$D$38*'Petrochemicals Split'!$I$6</f>
        <v>321670527532211.63</v>
      </c>
      <c r="Z11" s="179">
        <f>'KEEI BAU - Industry'!AP$9*'Petrochemicals Split'!$D$38*'Petrochemicals Split'!$I$6</f>
        <v>322180372038611.44</v>
      </c>
      <c r="AA11" s="179">
        <f>'KEEI BAU - Industry'!AQ$9*'Petrochemicals Split'!$D$38*'Petrochemicals Split'!$I$6</f>
        <v>322690216545010.94</v>
      </c>
      <c r="AB11" s="179">
        <f>'KEEI BAU - Industry'!AR$9*'Petrochemicals Split'!$D$38*'Petrochemicals Split'!$I$6</f>
        <v>323200061051410.75</v>
      </c>
      <c r="AC11" s="179">
        <f>'KEEI BAU - Industry'!AS$9*'Petrochemicals Split'!$D$38*'Petrochemicals Split'!$I$6</f>
        <v>323709905557810.44</v>
      </c>
      <c r="AD11" s="179">
        <f>'KEEI BAU - Industry'!AT$9*'Petrochemicals Split'!$D$38*'Petrochemicals Split'!$I$6</f>
        <v>324219750064210.25</v>
      </c>
      <c r="AE11" s="179">
        <f>'KEEI BAU - Industry'!AU$9*'Petrochemicals Split'!$D$38*'Petrochemicals Split'!$I$6</f>
        <v>324729594570610</v>
      </c>
      <c r="AF11" s="179">
        <f>'KEEI BAU - Industry'!AV$9*'Petrochemicals Split'!$D$38*'Petrochemicals Split'!$I$6</f>
        <v>325239439077009.75</v>
      </c>
    </row>
    <row r="12" spans="1:35">
      <c r="A12" s="4" t="s">
        <v>12</v>
      </c>
      <c r="B12" s="179">
        <f>'KEEI BAU - Industry'!R$9*'Petrochemicals Split'!$D$38*'Petrochemicals Split'!$I$7</f>
        <v>135900228047668.78</v>
      </c>
      <c r="C12" s="179">
        <f>'KEEI BAU - Industry'!S$9*'Petrochemicals Split'!$D$38*'Petrochemicals Split'!$I$7</f>
        <v>140356326608927.53</v>
      </c>
      <c r="D12" s="179">
        <f>'KEEI BAU - Industry'!T$9*'Petrochemicals Split'!$D$38*'Petrochemicals Split'!$I$7</f>
        <v>144812425170186.34</v>
      </c>
      <c r="E12" s="179">
        <f>'KEEI BAU - Industry'!U$9*'Petrochemicals Split'!$D$38*'Petrochemicals Split'!$I$7</f>
        <v>149268523731445.09</v>
      </c>
      <c r="F12" s="179">
        <f>'KEEI BAU - Industry'!V$9*'Petrochemicals Split'!$D$38*'Petrochemicals Split'!$I$7</f>
        <v>153724622292703.91</v>
      </c>
      <c r="G12" s="179">
        <f>'KEEI BAU - Industry'!W$9*'Petrochemicals Split'!$D$38*'Petrochemicals Split'!$I$7</f>
        <v>158180720853962.69</v>
      </c>
      <c r="H12" s="179">
        <f>'KEEI BAU - Industry'!X$9*'Petrochemicals Split'!$D$38*'Petrochemicals Split'!$I$7</f>
        <v>159098033507315</v>
      </c>
      <c r="I12" s="179">
        <f>'KEEI BAU - Industry'!Y$9*'Petrochemicals Split'!$D$38*'Petrochemicals Split'!$I$7</f>
        <v>160015346160667.16</v>
      </c>
      <c r="J12" s="179">
        <f>'KEEI BAU - Industry'!Z$9*'Petrochemicals Split'!$D$38*'Petrochemicals Split'!$I$7</f>
        <v>160932658814019.5</v>
      </c>
      <c r="K12" s="179">
        <f>'KEEI BAU - Industry'!AA$9*'Petrochemicals Split'!$D$38*'Petrochemicals Split'!$I$7</f>
        <v>161849971467371.63</v>
      </c>
      <c r="L12" s="179">
        <f>'KEEI BAU - Industry'!AB$9*'Petrochemicals Split'!$D$38*'Petrochemicals Split'!$I$7</f>
        <v>162767284120723.84</v>
      </c>
      <c r="M12" s="179">
        <f>'KEEI BAU - Industry'!AC$9*'Petrochemicals Split'!$D$38*'Petrochemicals Split'!$I$7</f>
        <v>163162497157790.25</v>
      </c>
      <c r="N12" s="179">
        <f>'KEEI BAU - Industry'!AD$9*'Petrochemicals Split'!$D$38*'Petrochemicals Split'!$I$7</f>
        <v>163557710194856.72</v>
      </c>
      <c r="O12" s="179">
        <f>'KEEI BAU - Industry'!AE$9*'Petrochemicals Split'!$D$38*'Petrochemicals Split'!$I$7</f>
        <v>163952923231923.22</v>
      </c>
      <c r="P12" s="179">
        <f>'KEEI BAU - Industry'!AF$9*'Petrochemicals Split'!$D$38*'Petrochemicals Split'!$I$7</f>
        <v>164348136268989.69</v>
      </c>
      <c r="Q12" s="179">
        <f>'KEEI BAU - Industry'!AG$9*'Petrochemicals Split'!$D$38*'Petrochemicals Split'!$I$7</f>
        <v>164743349306056.25</v>
      </c>
      <c r="R12" s="179">
        <f>'KEEI BAU - Industry'!AH$9*'Petrochemicals Split'!$D$38*'Petrochemicals Split'!$I$7</f>
        <v>164910712249255.91</v>
      </c>
      <c r="S12" s="179">
        <f>'KEEI BAU - Industry'!AI$9*'Petrochemicals Split'!$D$38*'Petrochemicals Split'!$I$7</f>
        <v>165078075192455.53</v>
      </c>
      <c r="T12" s="179">
        <f>'KEEI BAU - Industry'!AJ$9*'Petrochemicals Split'!$D$38*'Petrochemicals Split'!$I$7</f>
        <v>165245438135655.13</v>
      </c>
      <c r="U12" s="179">
        <f>'KEEI BAU - Industry'!AK$9*'Petrochemicals Split'!$D$38*'Petrochemicals Split'!$I$7</f>
        <v>165412801078854.75</v>
      </c>
      <c r="V12" s="179">
        <f>'KEEI BAU - Industry'!AL$9*'Petrochemicals Split'!$D$38*'Petrochemicals Split'!$I$7</f>
        <v>165580164022054.38</v>
      </c>
      <c r="W12" s="179">
        <f>'KEEI BAU - Industry'!AM$9*'Petrochemicals Split'!$D$38*'Petrochemicals Split'!$I$7</f>
        <v>166051327090409.88</v>
      </c>
      <c r="X12" s="179">
        <f>'KEEI BAU - Industry'!AN$9*'Petrochemicals Split'!$D$38*'Petrochemicals Split'!$I$7</f>
        <v>166315353709795.44</v>
      </c>
      <c r="Y12" s="179">
        <f>'KEEI BAU - Industry'!AO$9*'Petrochemicals Split'!$D$38*'Petrochemicals Split'!$I$7</f>
        <v>166579380329181.03</v>
      </c>
      <c r="Z12" s="179">
        <f>'KEEI BAU - Industry'!AP$9*'Petrochemicals Split'!$D$38*'Petrochemicals Split'!$I$7</f>
        <v>166843406948566.63</v>
      </c>
      <c r="AA12" s="179">
        <f>'KEEI BAU - Industry'!AQ$9*'Petrochemicals Split'!$D$38*'Petrochemicals Split'!$I$7</f>
        <v>167107433567952.09</v>
      </c>
      <c r="AB12" s="179">
        <f>'KEEI BAU - Industry'!AR$9*'Petrochemicals Split'!$D$38*'Petrochemicals Split'!$I$7</f>
        <v>167371460187337.72</v>
      </c>
      <c r="AC12" s="179">
        <f>'KEEI BAU - Industry'!AS$9*'Petrochemicals Split'!$D$38*'Petrochemicals Split'!$I$7</f>
        <v>167635486806723.28</v>
      </c>
      <c r="AD12" s="179">
        <f>'KEEI BAU - Industry'!AT$9*'Petrochemicals Split'!$D$38*'Petrochemicals Split'!$I$7</f>
        <v>167899513426108.88</v>
      </c>
      <c r="AE12" s="179">
        <f>'KEEI BAU - Industry'!AU$9*'Petrochemicals Split'!$D$38*'Petrochemicals Split'!$I$7</f>
        <v>168163540045494.47</v>
      </c>
      <c r="AF12" s="179">
        <f>'KEEI BAU - Industry'!AV$9*'Petrochemicals Split'!$D$38*'Petrochemicals Split'!$I$7</f>
        <v>168427566664880.06</v>
      </c>
    </row>
    <row r="13" spans="1:35">
      <c r="A13" s="4" t="s">
        <v>13</v>
      </c>
      <c r="B13" s="179">
        <f>'KEEI BAU - Industry'!R$37*'Others Split'!$D$47*'Others Split'!$L$12</f>
        <v>13583122748657.443</v>
      </c>
      <c r="C13" s="179">
        <f>'KEEI BAU - Industry'!S$37*'Others Split'!$D$47*'Others Split'!$L$12</f>
        <v>13884482155793.414</v>
      </c>
      <c r="D13" s="179">
        <f>'KEEI BAU - Industry'!T$37*'Others Split'!$D$47*'Others Split'!$L$12</f>
        <v>14185841562929.387</v>
      </c>
      <c r="E13" s="179">
        <f>'KEEI BAU - Industry'!U$37*'Others Split'!$D$47*'Others Split'!$L$12</f>
        <v>14487200970065.357</v>
      </c>
      <c r="F13" s="179">
        <f>'KEEI BAU - Industry'!V$37*'Others Split'!$D$47*'Others Split'!$L$12</f>
        <v>14788560377201.328</v>
      </c>
      <c r="G13" s="179">
        <f>'KEEI BAU - Industry'!W$37*'Others Split'!$D$47*'Others Split'!$L$12</f>
        <v>15089919784337.299</v>
      </c>
      <c r="H13" s="179">
        <f>'KEEI BAU - Industry'!X$37*'Others Split'!$D$47*'Others Split'!$L$12</f>
        <v>15229182879694.863</v>
      </c>
      <c r="I13" s="179">
        <f>'KEEI BAU - Industry'!Y$37*'Others Split'!$D$47*'Others Split'!$L$12</f>
        <v>15368445975052.385</v>
      </c>
      <c r="J13" s="179">
        <f>'KEEI BAU - Industry'!Z$37*'Others Split'!$D$47*'Others Split'!$L$12</f>
        <v>15507709070409.906</v>
      </c>
      <c r="K13" s="179">
        <f>'KEEI BAU - Industry'!AA$37*'Others Split'!$D$47*'Others Split'!$L$12</f>
        <v>15646972165767.428</v>
      </c>
      <c r="L13" s="179">
        <f>'KEEI BAU - Industry'!AB$37*'Others Split'!$D$47*'Others Split'!$L$12</f>
        <v>15786235261124.975</v>
      </c>
      <c r="M13" s="179">
        <f>'KEEI BAU - Industry'!AC$37*'Others Split'!$D$47*'Others Split'!$L$12</f>
        <v>15885246232575.145</v>
      </c>
      <c r="N13" s="179">
        <f>'KEEI BAU - Industry'!AD$37*'Others Split'!$D$47*'Others Split'!$L$12</f>
        <v>15984257204025.34</v>
      </c>
      <c r="O13" s="179">
        <f>'KEEI BAU - Industry'!AE$37*'Others Split'!$D$47*'Others Split'!$L$12</f>
        <v>16083268175475.539</v>
      </c>
      <c r="P13" s="179">
        <f>'KEEI BAU - Industry'!AF$37*'Others Split'!$D$47*'Others Split'!$L$12</f>
        <v>16182279146925.736</v>
      </c>
      <c r="Q13" s="179">
        <f>'KEEI BAU - Industry'!AG$37*'Others Split'!$D$47*'Others Split'!$L$12</f>
        <v>16281290118375.926</v>
      </c>
      <c r="R13" s="179">
        <f>'KEEI BAU - Industry'!AH$37*'Others Split'!$D$47*'Others Split'!$L$12</f>
        <v>16359018357645.275</v>
      </c>
      <c r="S13" s="179">
        <f>'KEEI BAU - Industry'!AI$37*'Others Split'!$D$47*'Others Split'!$L$12</f>
        <v>16436746596914.561</v>
      </c>
      <c r="T13" s="179">
        <f>'KEEI BAU - Industry'!AJ$37*'Others Split'!$D$47*'Others Split'!$L$12</f>
        <v>16514474836183.875</v>
      </c>
      <c r="U13" s="179">
        <f>'KEEI BAU - Industry'!AK$37*'Others Split'!$D$47*'Others Split'!$L$12</f>
        <v>16592203075453.191</v>
      </c>
      <c r="V13" s="179">
        <f>'KEEI BAU - Industry'!AL$37*'Others Split'!$D$47*'Others Split'!$L$12</f>
        <v>16669931314722.479</v>
      </c>
      <c r="W13" s="179">
        <f>'KEEI BAU - Industry'!AM$37*'Others Split'!$D$47*'Others Split'!$L$12</f>
        <v>16776036530232.975</v>
      </c>
      <c r="X13" s="179">
        <f>'KEEI BAU - Industry'!AN$37*'Others Split'!$D$47*'Others Split'!$L$12</f>
        <v>16862793807397.201</v>
      </c>
      <c r="Y13" s="179">
        <f>'KEEI BAU - Industry'!AO$37*'Others Split'!$D$47*'Others Split'!$L$12</f>
        <v>16949551084561.457</v>
      </c>
      <c r="Z13" s="179">
        <f>'KEEI BAU - Industry'!AP$37*'Others Split'!$D$47*'Others Split'!$L$12</f>
        <v>17036308361725.684</v>
      </c>
      <c r="AA13" s="179">
        <f>'KEEI BAU - Industry'!AQ$37*'Others Split'!$D$47*'Others Split'!$L$12</f>
        <v>17123065638889.906</v>
      </c>
      <c r="AB13" s="179">
        <f>'KEEI BAU - Industry'!AR$37*'Others Split'!$D$47*'Others Split'!$L$12</f>
        <v>17209822916054.131</v>
      </c>
      <c r="AC13" s="179">
        <f>'KEEI BAU - Industry'!AS$37*'Others Split'!$D$47*'Others Split'!$L$12</f>
        <v>17296580193218.387</v>
      </c>
      <c r="AD13" s="179">
        <f>'KEEI BAU - Industry'!AT$37*'Others Split'!$D$47*'Others Split'!$L$12</f>
        <v>17383337470382.613</v>
      </c>
      <c r="AE13" s="179">
        <f>'KEEI BAU - Industry'!AU$37*'Others Split'!$D$47*'Others Split'!$L$12</f>
        <v>17470094747546.838</v>
      </c>
      <c r="AF13" s="179">
        <f>'KEEI BAU - Industry'!AV$37*'Others Split'!$D$47*'Others Split'!$L$12</f>
        <v>17556852024711.092</v>
      </c>
    </row>
    <row r="14" spans="1:35">
      <c r="A14" s="4" t="s">
        <v>14</v>
      </c>
      <c r="B14" s="179">
        <f>'KEEI BAU - Industry'!R$37*'Others Split'!$D$47*'Others Split'!$L$13</f>
        <v>2172375224795.9153</v>
      </c>
      <c r="C14" s="179">
        <f>'KEEI BAU - Industry'!S$37*'Others Split'!$D$47*'Others Split'!$L$13</f>
        <v>2220572220577.7637</v>
      </c>
      <c r="D14" s="179">
        <f>'KEEI BAU - Industry'!T$37*'Others Split'!$D$47*'Others Split'!$L$13</f>
        <v>2268769216359.6118</v>
      </c>
      <c r="E14" s="179">
        <f>'KEEI BAU - Industry'!U$37*'Others Split'!$D$47*'Others Split'!$L$13</f>
        <v>2316966212141.46</v>
      </c>
      <c r="F14" s="179">
        <f>'KEEI BAU - Industry'!V$37*'Others Split'!$D$47*'Others Split'!$L$13</f>
        <v>2365163207923.3081</v>
      </c>
      <c r="G14" s="179">
        <f>'KEEI BAU - Industry'!W$37*'Others Split'!$D$47*'Others Split'!$L$13</f>
        <v>2413360203705.1563</v>
      </c>
      <c r="H14" s="179">
        <f>'KEEI BAU - Industry'!X$37*'Others Split'!$D$47*'Others Split'!$L$13</f>
        <v>2435632821252.772</v>
      </c>
      <c r="I14" s="179">
        <f>'KEEI BAU - Industry'!Y$37*'Others Split'!$D$47*'Others Split'!$L$13</f>
        <v>2457905438800.3804</v>
      </c>
      <c r="J14" s="179">
        <f>'KEEI BAU - Industry'!Z$37*'Others Split'!$D$47*'Others Split'!$L$13</f>
        <v>2480178056347.9893</v>
      </c>
      <c r="K14" s="179">
        <f>'KEEI BAU - Industry'!AA$37*'Others Split'!$D$47*'Others Split'!$L$13</f>
        <v>2502450673895.5977</v>
      </c>
      <c r="L14" s="179">
        <f>'KEEI BAU - Industry'!AB$37*'Others Split'!$D$47*'Others Split'!$L$13</f>
        <v>2524723291443.2104</v>
      </c>
      <c r="M14" s="179">
        <f>'KEEI BAU - Industry'!AC$37*'Others Split'!$D$47*'Others Split'!$L$13</f>
        <v>2540558308570.0776</v>
      </c>
      <c r="N14" s="179">
        <f>'KEEI BAU - Industry'!AD$37*'Others Split'!$D$47*'Others Split'!$L$13</f>
        <v>2556393325696.9487</v>
      </c>
      <c r="O14" s="179">
        <f>'KEEI BAU - Industry'!AE$37*'Others Split'!$D$47*'Others Split'!$L$13</f>
        <v>2572228342823.8198</v>
      </c>
      <c r="P14" s="179">
        <f>'KEEI BAU - Industry'!AF$37*'Others Split'!$D$47*'Others Split'!$L$13</f>
        <v>2588063359950.6909</v>
      </c>
      <c r="Q14" s="179">
        <f>'KEEI BAU - Industry'!AG$37*'Others Split'!$D$47*'Others Split'!$L$13</f>
        <v>2603898377077.561</v>
      </c>
      <c r="R14" s="179">
        <f>'KEEI BAU - Industry'!AH$37*'Others Split'!$D$47*'Others Split'!$L$13</f>
        <v>2616329605476.2319</v>
      </c>
      <c r="S14" s="179">
        <f>'KEEI BAU - Industry'!AI$37*'Others Split'!$D$47*'Others Split'!$L$13</f>
        <v>2628760833874.8926</v>
      </c>
      <c r="T14" s="179">
        <f>'KEEI BAU - Industry'!AJ$37*'Others Split'!$D$47*'Others Split'!$L$13</f>
        <v>2641192062273.5581</v>
      </c>
      <c r="U14" s="179">
        <f>'KEEI BAU - Industry'!AK$37*'Others Split'!$D$47*'Others Split'!$L$13</f>
        <v>2653623290672.2236</v>
      </c>
      <c r="V14" s="179">
        <f>'KEEI BAU - Industry'!AL$37*'Others Split'!$D$47*'Others Split'!$L$13</f>
        <v>2666054519070.8848</v>
      </c>
      <c r="W14" s="179">
        <f>'KEEI BAU - Industry'!AM$37*'Others Split'!$D$47*'Others Split'!$L$13</f>
        <v>2683024132440.4917</v>
      </c>
      <c r="X14" s="179">
        <f>'KEEI BAU - Industry'!AN$37*'Others Split'!$D$47*'Others Split'!$L$13</f>
        <v>2696899392420.8188</v>
      </c>
      <c r="Y14" s="179">
        <f>'KEEI BAU - Industry'!AO$37*'Others Split'!$D$47*'Others Split'!$L$13</f>
        <v>2710774652401.1509</v>
      </c>
      <c r="Z14" s="179">
        <f>'KEEI BAU - Industry'!AP$37*'Others Split'!$D$47*'Others Split'!$L$13</f>
        <v>2724649912381.478</v>
      </c>
      <c r="AA14" s="179">
        <f>'KEEI BAU - Industry'!AQ$37*'Others Split'!$D$47*'Others Split'!$L$13</f>
        <v>2738525172361.8042</v>
      </c>
      <c r="AB14" s="179">
        <f>'KEEI BAU - Industry'!AR$37*'Others Split'!$D$47*'Others Split'!$L$13</f>
        <v>2752400432342.1313</v>
      </c>
      <c r="AC14" s="179">
        <f>'KEEI BAU - Industry'!AS$37*'Others Split'!$D$47*'Others Split'!$L$13</f>
        <v>2766275692322.4634</v>
      </c>
      <c r="AD14" s="179">
        <f>'KEEI BAU - Industry'!AT$37*'Others Split'!$D$47*'Others Split'!$L$13</f>
        <v>2780150952302.7905</v>
      </c>
      <c r="AE14" s="179">
        <f>'KEEI BAU - Industry'!AU$37*'Others Split'!$D$47*'Others Split'!$L$13</f>
        <v>2794026212283.1172</v>
      </c>
      <c r="AF14" s="179">
        <f>'KEEI BAU - Industry'!AV$37*'Others Split'!$D$47*'Others Split'!$L$13</f>
        <v>2807901472263.4487</v>
      </c>
    </row>
    <row r="15" spans="1:35">
      <c r="A15" s="4" t="s">
        <v>15</v>
      </c>
      <c r="B15" s="179">
        <f>'KEEI BAU - Industry'!R23*'Steel Split'!$D$6</f>
        <v>602115116500.21411</v>
      </c>
      <c r="C15" s="179">
        <f>'KEEI BAU - Industry'!S23*'Steel Split'!$D$6</f>
        <v>588244249461.7157</v>
      </c>
      <c r="D15" s="179">
        <f>'KEEI BAU - Industry'!T23*'Steel Split'!$D$6</f>
        <v>574373382423.21729</v>
      </c>
      <c r="E15" s="179">
        <f>'KEEI BAU - Industry'!U23*'Steel Split'!$D$6</f>
        <v>560502515384.71887</v>
      </c>
      <c r="F15" s="179">
        <f>'KEEI BAU - Industry'!V23*'Steel Split'!$D$6</f>
        <v>546631648346.22052</v>
      </c>
      <c r="G15" s="179">
        <f>'KEEI BAU - Industry'!W23*'Steel Split'!$D$6</f>
        <v>532760781307.72223</v>
      </c>
      <c r="H15" s="179">
        <f>'KEEI BAU - Industry'!X23*'Steel Split'!$D$6</f>
        <v>530923675165.28223</v>
      </c>
      <c r="I15" s="179">
        <f>'KEEI BAU - Industry'!Y23*'Steel Split'!$D$6</f>
        <v>529086569022.8418</v>
      </c>
      <c r="J15" s="179">
        <f>'KEEI BAU - Industry'!Z23*'Steel Split'!$D$6</f>
        <v>527249462880.40137</v>
      </c>
      <c r="K15" s="179">
        <f>'KEEI BAU - Industry'!AA23*'Steel Split'!$D$6</f>
        <v>525412356737.961</v>
      </c>
      <c r="L15" s="179">
        <f>'KEEI BAU - Industry'!AB23*'Steel Split'!$D$6</f>
        <v>523575250595.52008</v>
      </c>
      <c r="M15" s="179">
        <f>'KEEI BAU - Industry'!AC23*'Steel Split'!$D$6</f>
        <v>519901038310.63928</v>
      </c>
      <c r="N15" s="179">
        <f>'KEEI BAU - Industry'!AD23*'Steel Split'!$D$6</f>
        <v>516226826025.75842</v>
      </c>
      <c r="O15" s="179">
        <f>'KEEI BAU - Industry'!AE23*'Steel Split'!$D$6</f>
        <v>512552613740.87756</v>
      </c>
      <c r="P15" s="179">
        <f>'KEEI BAU - Industry'!AF23*'Steel Split'!$D$6</f>
        <v>508878401455.9967</v>
      </c>
      <c r="Q15" s="179">
        <f>'KEEI BAU - Industry'!AG23*'Steel Split'!$D$6</f>
        <v>505204189171.11591</v>
      </c>
      <c r="R15" s="179">
        <f>'KEEI BAU - Industry'!AH23*'Steel Split'!$D$6</f>
        <v>499692870743.79462</v>
      </c>
      <c r="S15" s="179">
        <f>'KEEI BAU - Industry'!AI23*'Steel Split'!$D$6</f>
        <v>494181552316.47333</v>
      </c>
      <c r="T15" s="179">
        <f>'KEEI BAU - Industry'!AJ23*'Steel Split'!$D$6</f>
        <v>488670233889.1521</v>
      </c>
      <c r="U15" s="179">
        <f>'KEEI BAU - Industry'!AK23*'Steel Split'!$D$6</f>
        <v>483158915461.83081</v>
      </c>
      <c r="V15" s="179">
        <f>'KEEI BAU - Industry'!AL23*'Steel Split'!$D$6</f>
        <v>477647597034.50958</v>
      </c>
      <c r="W15" s="179">
        <f>'KEEI BAU - Industry'!AM23*'Steel Split'!$D$6</f>
        <v>474585753463.77612</v>
      </c>
      <c r="X15" s="179">
        <f>'KEEI BAU - Industry'!AN23*'Steel Split'!$D$6</f>
        <v>469853813399.91437</v>
      </c>
      <c r="Y15" s="179">
        <f>'KEEI BAU - Industry'!AO23*'Steel Split'!$D$6</f>
        <v>465121873336.05261</v>
      </c>
      <c r="Z15" s="179">
        <f>'KEEI BAU - Industry'!AP23*'Steel Split'!$D$6</f>
        <v>460389933272.19092</v>
      </c>
      <c r="AA15" s="179">
        <f>'KEEI BAU - Industry'!AQ23*'Steel Split'!$D$6</f>
        <v>455657993208.32916</v>
      </c>
      <c r="AB15" s="179">
        <f>'KEEI BAU - Industry'!AR23*'Steel Split'!$D$6</f>
        <v>450926053144.46741</v>
      </c>
      <c r="AC15" s="179">
        <f>'KEEI BAU - Industry'!AS23*'Steel Split'!$D$6</f>
        <v>446194113080.60565</v>
      </c>
      <c r="AD15" s="179">
        <f>'KEEI BAU - Industry'!AT23*'Steel Split'!$D$6</f>
        <v>441462173016.7439</v>
      </c>
      <c r="AE15" s="179">
        <f>'KEEI BAU - Industry'!AU23*'Steel Split'!$D$6</f>
        <v>436730232952.88214</v>
      </c>
      <c r="AF15" s="179">
        <f>'KEEI BAU - Industry'!AV23*'Steel Split'!$D$6</f>
        <v>431998292889.02039</v>
      </c>
    </row>
    <row r="16" spans="1:35">
      <c r="A16" s="4" t="s">
        <v>16</v>
      </c>
      <c r="B16" s="20">
        <f>'KEEI BAU - Industry'!R$16*'Non-ferrous Metals Split'!$I$6*'Non-ferrous Metals Split'!$D$45</f>
        <v>947372693726.9646</v>
      </c>
      <c r="C16" s="20">
        <f>'KEEI BAU - Industry'!S$16*'Non-ferrous Metals Split'!$I$6*'Non-ferrous Metals Split'!$D$45</f>
        <v>960922275149.85022</v>
      </c>
      <c r="D16" s="20">
        <f>'KEEI BAU - Industry'!T$16*'Non-ferrous Metals Split'!$I$6*'Non-ferrous Metals Split'!$D$45</f>
        <v>974471856572.73621</v>
      </c>
      <c r="E16" s="20">
        <f>'KEEI BAU - Industry'!U$16*'Non-ferrous Metals Split'!$I$6*'Non-ferrous Metals Split'!$D$45</f>
        <v>988021437995.62195</v>
      </c>
      <c r="F16" s="20">
        <f>'KEEI BAU - Industry'!V$16*'Non-ferrous Metals Split'!$I$6*'Non-ferrous Metals Split'!$D$45</f>
        <v>1001571019418.5078</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8052667896679.1982</v>
      </c>
      <c r="C17" s="20">
        <f>'KEEI BAU - Industry'!S$16*'Non-ferrous Metals Split'!$I$7*'Non-ferrous Metals Split'!$D$45</f>
        <v>8167839338773.7275</v>
      </c>
      <c r="D17" s="20">
        <f>'KEEI BAU - Industry'!T$16*'Non-ferrous Metals Split'!$I$7*'Non-ferrous Metals Split'!$D$45</f>
        <v>8283010780868.2559</v>
      </c>
      <c r="E17" s="20">
        <f>'KEEI BAU - Industry'!U$16*'Non-ferrous Metals Split'!$I$7*'Non-ferrous Metals Split'!$D$45</f>
        <v>8398182222962.7852</v>
      </c>
      <c r="F17" s="20">
        <f>'KEEI BAU - Industry'!V$16*'Non-ferrous Metals Split'!$I$7*'Non-ferrous Metals Split'!$D$45</f>
        <v>8513353665057.3154</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179">
        <f>'KEEI BAU - Industry'!R$37*'Others Split'!$D$47*'Others Split'!$L$14</f>
        <v>9269137256563.3652</v>
      </c>
      <c r="C23" s="179">
        <f>'KEEI BAU - Industry'!S$37*'Others Split'!$D$47*'Others Split'!$L$14</f>
        <v>9474785233099.2461</v>
      </c>
      <c r="D23" s="179">
        <f>'KEEI BAU - Industry'!T$37*'Others Split'!$D$47*'Others Split'!$L$14</f>
        <v>9680433209635.125</v>
      </c>
      <c r="E23" s="179">
        <f>'KEEI BAU - Industry'!U$37*'Others Split'!$D$47*'Others Split'!$L$14</f>
        <v>9886081186171.0039</v>
      </c>
      <c r="F23" s="179">
        <f>'KEEI BAU - Industry'!V$37*'Others Split'!$D$47*'Others Split'!$L$14</f>
        <v>10091729162706.885</v>
      </c>
      <c r="G23" s="179">
        <f>'KEEI BAU - Industry'!W$37*'Others Split'!$D$47*'Others Split'!$L$14</f>
        <v>10297377139242.764</v>
      </c>
      <c r="H23" s="179">
        <f>'KEEI BAU - Industry'!X$37*'Others Split'!$D$47*'Others Split'!$L$14</f>
        <v>10392410422054.754</v>
      </c>
      <c r="I23" s="179">
        <f>'KEEI BAU - Industry'!Y$37*'Others Split'!$D$47*'Others Split'!$L$14</f>
        <v>10487443704866.713</v>
      </c>
      <c r="J23" s="179">
        <f>'KEEI BAU - Industry'!Z$37*'Others Split'!$D$47*'Others Split'!$L$14</f>
        <v>10582476987678.674</v>
      </c>
      <c r="K23" s="179">
        <f>'KEEI BAU - Industry'!AA$37*'Others Split'!$D$47*'Others Split'!$L$14</f>
        <v>10677510270490.635</v>
      </c>
      <c r="L23" s="179">
        <f>'KEEI BAU - Industry'!AB$37*'Others Split'!$D$47*'Others Split'!$L$14</f>
        <v>10772543553302.613</v>
      </c>
      <c r="M23" s="179">
        <f>'KEEI BAU - Industry'!AC$37*'Others Split'!$D$47*'Others Split'!$L$14</f>
        <v>10840108744404.785</v>
      </c>
      <c r="N23" s="179">
        <f>'KEEI BAU - Industry'!AD$37*'Others Split'!$D$47*'Others Split'!$L$14</f>
        <v>10907673935506.975</v>
      </c>
      <c r="O23" s="179">
        <f>'KEEI BAU - Industry'!AE$37*'Others Split'!$D$47*'Others Split'!$L$14</f>
        <v>10975239126609.168</v>
      </c>
      <c r="P23" s="179">
        <f>'KEEI BAU - Industry'!AF$37*'Others Split'!$D$47*'Others Split'!$L$14</f>
        <v>11042804317711.357</v>
      </c>
      <c r="Q23" s="179">
        <f>'KEEI BAU - Industry'!AG$37*'Others Split'!$D$47*'Others Split'!$L$14</f>
        <v>11110369508813.543</v>
      </c>
      <c r="R23" s="179">
        <f>'KEEI BAU - Industry'!AH$37*'Others Split'!$D$47*'Others Split'!$L$14</f>
        <v>11163411341080.709</v>
      </c>
      <c r="S23" s="179">
        <f>'KEEI BAU - Industry'!AI$37*'Others Split'!$D$47*'Others Split'!$L$14</f>
        <v>11216453173347.83</v>
      </c>
      <c r="T23" s="179">
        <f>'KEEI BAU - Industry'!AJ$37*'Others Split'!$D$47*'Others Split'!$L$14</f>
        <v>11269495005614.971</v>
      </c>
      <c r="U23" s="179">
        <f>'KEEI BAU - Industry'!AK$37*'Others Split'!$D$47*'Others Split'!$L$14</f>
        <v>11322536837882.111</v>
      </c>
      <c r="V23" s="179">
        <f>'KEEI BAU - Industry'!AL$37*'Others Split'!$D$47*'Others Split'!$L$14</f>
        <v>11375578670149.234</v>
      </c>
      <c r="W23" s="179">
        <f>'KEEI BAU - Industry'!AM$37*'Others Split'!$D$47*'Others Split'!$L$14</f>
        <v>11447984980863.111</v>
      </c>
      <c r="X23" s="179">
        <f>'KEEI BAU - Industry'!AN$37*'Others Split'!$D$47*'Others Split'!$L$14</f>
        <v>11507188238090.572</v>
      </c>
      <c r="Y23" s="179">
        <f>'KEEI BAU - Industry'!AO$37*'Others Split'!$D$47*'Others Split'!$L$14</f>
        <v>11566391495318.051</v>
      </c>
      <c r="Z23" s="179">
        <f>'KEEI BAU - Industry'!AP$37*'Others Split'!$D$47*'Others Split'!$L$14</f>
        <v>11625594752545.51</v>
      </c>
      <c r="AA23" s="179">
        <f>'KEEI BAU - Industry'!AQ$37*'Others Split'!$D$47*'Others Split'!$L$14</f>
        <v>11684798009772.967</v>
      </c>
      <c r="AB23" s="179">
        <f>'KEEI BAU - Industry'!AR$37*'Others Split'!$D$47*'Others Split'!$L$14</f>
        <v>11744001267000.428</v>
      </c>
      <c r="AC23" s="179">
        <f>'KEEI BAU - Industry'!AS$37*'Others Split'!$D$47*'Others Split'!$L$14</f>
        <v>11803204524227.906</v>
      </c>
      <c r="AD23" s="179">
        <f>'KEEI BAU - Industry'!AT$37*'Others Split'!$D$47*'Others Split'!$L$14</f>
        <v>11862407781455.365</v>
      </c>
      <c r="AE23" s="179">
        <f>'KEEI BAU - Industry'!AU$37*'Others Split'!$D$47*'Others Split'!$L$14</f>
        <v>11921611038682.824</v>
      </c>
      <c r="AF23" s="179">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Split'!$D$47*'Others Split'!$L$15</f>
        <v>1115868204049.4556</v>
      </c>
      <c r="C26" s="179">
        <f>'KEEI BAU - Industry'!S$37*'Others Split'!$D$47*'Others Split'!$L$15</f>
        <v>1140625204824.3667</v>
      </c>
      <c r="D26" s="179">
        <f>'KEEI BAU - Industry'!T$37*'Others Split'!$D$47*'Others Split'!$L$15</f>
        <v>1165382205599.2781</v>
      </c>
      <c r="E26" s="179">
        <f>'KEEI BAU - Industry'!U$37*'Others Split'!$D$47*'Others Split'!$L$15</f>
        <v>1190139206374.189</v>
      </c>
      <c r="F26" s="179">
        <f>'KEEI BAU - Industry'!V$37*'Others Split'!$D$47*'Others Split'!$L$15</f>
        <v>1214896207149.1001</v>
      </c>
      <c r="G26" s="179">
        <f>'KEEI BAU - Industry'!W$37*'Others Split'!$D$47*'Others Split'!$L$15</f>
        <v>1239653207924.011</v>
      </c>
      <c r="H26" s="179">
        <f>'KEEI BAU - Industry'!X$37*'Others Split'!$D$47*'Others Split'!$L$15</f>
        <v>1251093821616.6448</v>
      </c>
      <c r="I26" s="179">
        <f>'KEEI BAU - Industry'!Y$37*'Others Split'!$D$47*'Others Split'!$L$15</f>
        <v>1262534435309.2747</v>
      </c>
      <c r="J26" s="179">
        <f>'KEEI BAU - Industry'!Z$37*'Others Split'!$D$47*'Others Split'!$L$15</f>
        <v>1273975049001.9048</v>
      </c>
      <c r="K26" s="179">
        <f>'KEEI BAU - Industry'!AA$37*'Others Split'!$D$47*'Others Split'!$L$15</f>
        <v>1285415662694.5349</v>
      </c>
      <c r="L26" s="179">
        <f>'KEEI BAU - Industry'!AB$37*'Others Split'!$D$47*'Others Split'!$L$15</f>
        <v>1296856276387.1672</v>
      </c>
      <c r="M26" s="179">
        <f>'KEEI BAU - Industry'!AC$37*'Others Split'!$D$47*'Others Split'!$L$15</f>
        <v>1304990134627.1079</v>
      </c>
      <c r="N26" s="179">
        <f>'KEEI BAU - Industry'!AD$37*'Others Split'!$D$47*'Others Split'!$L$15</f>
        <v>1313123992867.0508</v>
      </c>
      <c r="O26" s="179">
        <f>'KEEI BAU - Industry'!AE$37*'Others Split'!$D$47*'Others Split'!$L$15</f>
        <v>1321257851106.9937</v>
      </c>
      <c r="P26" s="179">
        <f>'KEEI BAU - Industry'!AF$37*'Others Split'!$D$47*'Others Split'!$L$15</f>
        <v>1329391709346.9365</v>
      </c>
      <c r="Q26" s="179">
        <f>'KEEI BAU - Industry'!AG$37*'Others Split'!$D$47*'Others Split'!$L$15</f>
        <v>1337525567586.8789</v>
      </c>
      <c r="R26" s="179">
        <f>'KEEI BAU - Industry'!AH$37*'Others Split'!$D$47*'Others Split'!$L$15</f>
        <v>1343911026392.0708</v>
      </c>
      <c r="S26" s="179">
        <f>'KEEI BAU - Industry'!AI$37*'Others Split'!$D$47*'Others Split'!$L$15</f>
        <v>1350296485197.2573</v>
      </c>
      <c r="T26" s="179">
        <f>'KEEI BAU - Industry'!AJ$37*'Others Split'!$D$47*'Others Split'!$L$15</f>
        <v>1356681944002.446</v>
      </c>
      <c r="U26" s="179">
        <f>'KEEI BAU - Industry'!AK$37*'Others Split'!$D$47*'Others Split'!$L$15</f>
        <v>1363067402807.635</v>
      </c>
      <c r="V26" s="179">
        <f>'KEEI BAU - Industry'!AL$37*'Others Split'!$D$47*'Others Split'!$L$15</f>
        <v>1369452861612.8218</v>
      </c>
      <c r="W26" s="179">
        <f>'KEEI BAU - Industry'!AM$37*'Others Split'!$D$47*'Others Split'!$L$15</f>
        <v>1378169519664.3499</v>
      </c>
      <c r="X26" s="179">
        <f>'KEEI BAU - Industry'!AN$37*'Others Split'!$D$47*'Others Split'!$L$15</f>
        <v>1385296723684.2822</v>
      </c>
      <c r="Y26" s="179">
        <f>'KEEI BAU - Industry'!AO$37*'Others Split'!$D$47*'Others Split'!$L$15</f>
        <v>1392423927704.2168</v>
      </c>
      <c r="Z26" s="179">
        <f>'KEEI BAU - Industry'!AP$37*'Others Split'!$D$47*'Others Split'!$L$15</f>
        <v>1399551131724.1492</v>
      </c>
      <c r="AA26" s="179">
        <f>'KEEI BAU - Industry'!AQ$37*'Others Split'!$D$47*'Others Split'!$L$15</f>
        <v>1406678335744.0813</v>
      </c>
      <c r="AB26" s="179">
        <f>'KEEI BAU - Industry'!AR$37*'Others Split'!$D$47*'Others Split'!$L$15</f>
        <v>1413805539764.0137</v>
      </c>
      <c r="AC26" s="179">
        <f>'KEEI BAU - Industry'!AS$37*'Others Split'!$D$47*'Others Split'!$L$15</f>
        <v>1420932743783.9485</v>
      </c>
      <c r="AD26" s="179">
        <f>'KEEI BAU - Industry'!AT$37*'Others Split'!$D$47*'Others Split'!$L$15</f>
        <v>1428059947803.8806</v>
      </c>
      <c r="AE26" s="179">
        <f>'KEEI BAU - Industry'!AU$37*'Others Split'!$D$47*'Others Split'!$L$15</f>
        <v>1435187151823.813</v>
      </c>
      <c r="AF26" s="179">
        <f>'KEEI BAU - Industry'!AV$37*'Others Split'!$D$47*'Others Split'!$L$15</f>
        <v>1442314355843.7476</v>
      </c>
    </row>
  </sheetData>
  <phoneticPr fontId="35"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5" sqref="B5"/>
    </sheetView>
  </sheetViews>
  <sheetFormatPr defaultColWidth="9.08203125" defaultRowHeight="17"/>
  <cols>
    <col min="1" max="1" width="39.9140625" style="4" customWidth="1"/>
    <col min="2" max="2" width="22" style="4" bestFit="1" customWidth="1"/>
    <col min="3" max="33" width="12.58203125"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Split'!$D$48*'Others Split'!$M$6</f>
        <v>350727016153.76312</v>
      </c>
      <c r="C2" s="179">
        <f>'KEEI BAU - Industry'!S37*'Others Split'!$D$48*'Others Split'!$M$6</f>
        <v>358508355364.96277</v>
      </c>
      <c r="D2" s="179">
        <f>'KEEI BAU - Industry'!T37*'Others Split'!$D$48*'Others Split'!$M$6</f>
        <v>366289694576.16241</v>
      </c>
      <c r="E2" s="179">
        <f>'KEEI BAU - Industry'!U37*'Others Split'!$D$48*'Others Split'!$M$6</f>
        <v>374071033787.36206</v>
      </c>
      <c r="F2" s="179">
        <f>'KEEI BAU - Industry'!V37*'Others Split'!$D$48*'Others Split'!$M$6</f>
        <v>381852372998.56171</v>
      </c>
      <c r="G2" s="179">
        <f>'KEEI BAU - Industry'!W37*'Others Split'!$D$48*'Others Split'!$M$6</f>
        <v>389633712209.76141</v>
      </c>
      <c r="H2" s="179">
        <f>'KEEI BAU - Industry'!X37*'Others Split'!$D$48*'Others Split'!$M$6</f>
        <v>393229595925.08179</v>
      </c>
      <c r="I2" s="179">
        <f>'KEEI BAU - Industry'!Y37*'Others Split'!$D$48*'Others Split'!$M$6</f>
        <v>396825479640.40106</v>
      </c>
      <c r="J2" s="179">
        <f>'KEEI BAU - Industry'!Z37*'Others Split'!$D$48*'Others Split'!$M$6</f>
        <v>400421363355.7204</v>
      </c>
      <c r="K2" s="179">
        <f>'KEEI BAU - Industry'!AA37*'Others Split'!$D$48*'Others Split'!$M$6</f>
        <v>404017247071.03967</v>
      </c>
      <c r="L2" s="179">
        <f>'KEEI BAU - Industry'!AB37*'Others Split'!$D$48*'Others Split'!$M$6</f>
        <v>407613130786.35968</v>
      </c>
      <c r="M2" s="179">
        <f>'KEEI BAU - Industry'!AC37*'Others Split'!$D$48*'Others Split'!$M$6</f>
        <v>410169672696.91815</v>
      </c>
      <c r="N2" s="179">
        <f>'KEEI BAU - Industry'!AD37*'Others Split'!$D$48*'Others Split'!$M$6</f>
        <v>412726214607.47742</v>
      </c>
      <c r="O2" s="179">
        <f>'KEEI BAU - Industry'!AE37*'Others Split'!$D$48*'Others Split'!$M$6</f>
        <v>415282756518.03662</v>
      </c>
      <c r="P2" s="179">
        <f>'KEEI BAU - Industry'!AF37*'Others Split'!$D$48*'Others Split'!$M$6</f>
        <v>417839298428.59583</v>
      </c>
      <c r="Q2" s="179">
        <f>'KEEI BAU - Industry'!AG37*'Others Split'!$D$48*'Others Split'!$M$6</f>
        <v>420395840339.15491</v>
      </c>
      <c r="R2" s="179">
        <f>'KEEI BAU - Industry'!AH37*'Others Split'!$D$48*'Others Split'!$M$6</f>
        <v>422402845203.52008</v>
      </c>
      <c r="S2" s="179">
        <f>'KEEI BAU - Industry'!AI37*'Others Split'!$D$48*'Others Split'!$M$6</f>
        <v>424409850067.88354</v>
      </c>
      <c r="T2" s="179">
        <f>'KEEI BAU - Industry'!AJ37*'Others Split'!$D$48*'Others Split'!$M$6</f>
        <v>426416854932.24786</v>
      </c>
      <c r="U2" s="179">
        <f>'KEEI BAU - Industry'!AK37*'Others Split'!$D$48*'Others Split'!$M$6</f>
        <v>428423859796.61212</v>
      </c>
      <c r="V2" s="179">
        <f>'KEEI BAU - Industry'!AL37*'Others Split'!$D$48*'Others Split'!$M$6</f>
        <v>430430864660.97571</v>
      </c>
      <c r="W2" s="179">
        <f>'KEEI BAU - Industry'!AM37*'Others Split'!$D$48*'Others Split'!$M$6</f>
        <v>433170585586.93335</v>
      </c>
      <c r="X2" s="179">
        <f>'KEEI BAU - Industry'!AN37*'Others Split'!$D$48*'Others Split'!$M$6</f>
        <v>435410727379.98615</v>
      </c>
      <c r="Y2" s="179">
        <f>'KEEI BAU - Industry'!AO37*'Others Split'!$D$48*'Others Split'!$M$6</f>
        <v>437650869173.03973</v>
      </c>
      <c r="Z2" s="179">
        <f>'KEEI BAU - Industry'!AP37*'Others Split'!$D$48*'Others Split'!$M$6</f>
        <v>439891010966.09253</v>
      </c>
      <c r="AA2" s="179">
        <f>'KEEI BAU - Industry'!AQ37*'Others Split'!$D$48*'Others Split'!$M$6</f>
        <v>442131152759.14532</v>
      </c>
      <c r="AB2" s="179">
        <f>'KEEI BAU - Industry'!AR37*'Others Split'!$D$48*'Others Split'!$M$6</f>
        <v>444371294552.19812</v>
      </c>
      <c r="AC2" s="179">
        <f>'KEEI BAU - Industry'!AS37*'Others Split'!$D$48*'Others Split'!$M$6</f>
        <v>446611436345.25171</v>
      </c>
      <c r="AD2" s="179">
        <f>'KEEI BAU - Industry'!AT37*'Others Split'!$D$48*'Others Split'!$M$6</f>
        <v>448851578138.3045</v>
      </c>
      <c r="AE2" s="179">
        <f>'KEEI BAU - Industry'!AU37*'Others Split'!$D$48*'Others Split'!$M$6</f>
        <v>451091719931.3573</v>
      </c>
      <c r="AF2" s="179">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179">
        <f>-'2019 KESIS Energy Balance'!X37*About!C70/1000*(1+'KEEI BAU - Oil Supply'!R9)</f>
        <v>139126610879.03522</v>
      </c>
      <c r="C4" s="179">
        <f>B4*(1+'KEEI BAU - Oil Supply'!S9)</f>
        <v>134180545787.83896</v>
      </c>
      <c r="D4" s="179">
        <f>C4*(1+'KEEI BAU - Oil Supply'!T9)</f>
        <v>129234480696.64418</v>
      </c>
      <c r="E4" s="179">
        <f>D4*(1+'KEEI BAU - Oil Supply'!U9)</f>
        <v>124288415605.44939</v>
      </c>
      <c r="F4" s="179">
        <f>E4*(1+'KEEI BAU - Oil Supply'!V9)</f>
        <v>119342350514.25461</v>
      </c>
      <c r="G4" s="179">
        <f>F4*(1+'KEEI BAU - Oil Supply'!W9)</f>
        <v>114396285423.05949</v>
      </c>
      <c r="H4" s="179">
        <f>G4*(1+'KEEI BAU - Oil Supply'!X9)</f>
        <v>114730348973.88715</v>
      </c>
      <c r="I4" s="179">
        <f>H4*(1+'KEEI BAU - Oil Supply'!Y9)</f>
        <v>115064412524.71483</v>
      </c>
      <c r="J4" s="179">
        <f>I4*(1+'KEEI BAU - Oil Supply'!Z9)</f>
        <v>115398476075.54242</v>
      </c>
      <c r="K4" s="179">
        <f>J4*(1+'KEEI BAU - Oil Supply'!AA9)</f>
        <v>115732539626.3701</v>
      </c>
      <c r="L4" s="179">
        <f>K4*(1+'KEEI BAU - Oil Supply'!AB9)</f>
        <v>116066603177.19768</v>
      </c>
      <c r="M4" s="179">
        <f>L4*(1+'KEEI BAU - Oil Supply'!AC9)</f>
        <v>116006162251.38039</v>
      </c>
      <c r="N4" s="179">
        <f>M4*(1+'KEEI BAU - Oil Supply'!AD9)</f>
        <v>115945721325.56308</v>
      </c>
      <c r="O4" s="179">
        <f>N4*(1+'KEEI BAU - Oil Supply'!AE9)</f>
        <v>115885280399.74576</v>
      </c>
      <c r="P4" s="179">
        <f>O4*(1+'KEEI BAU - Oil Supply'!AF9)</f>
        <v>115824839473.92844</v>
      </c>
      <c r="Q4" s="179">
        <f>P4*(1+'KEEI BAU - Oil Supply'!AG9)</f>
        <v>115764398548.1111</v>
      </c>
      <c r="R4" s="179">
        <f>Q4*(1+'KEEI BAU - Oil Supply'!AH9)</f>
        <v>115508434868.29439</v>
      </c>
      <c r="S4" s="179">
        <f>R4*(1+'KEEI BAU - Oil Supply'!AI9)</f>
        <v>115252471188.47769</v>
      </c>
      <c r="T4" s="179">
        <f>S4*(1+'KEEI BAU - Oil Supply'!AJ9)</f>
        <v>114996507508.661</v>
      </c>
      <c r="U4" s="179">
        <f>T4*(1+'KEEI BAU - Oil Supply'!AK9)</f>
        <v>114740543828.84428</v>
      </c>
      <c r="V4" s="179">
        <f>U4*(1+'KEEI BAU - Oil Supply'!AL9)</f>
        <v>114484580149.02759</v>
      </c>
      <c r="W4" s="179">
        <f>V4*(1+'KEEI BAU - Oil Supply'!AM9)</f>
        <v>114489313474.5434</v>
      </c>
      <c r="X4" s="179">
        <f>W4*(1+'KEEI BAU - Oil Supply'!AN9)</f>
        <v>114316298841.87793</v>
      </c>
      <c r="Y4" s="179">
        <f>X4*(1+'KEEI BAU - Oil Supply'!AO9)</f>
        <v>114143284209.21246</v>
      </c>
      <c r="Z4" s="179">
        <f>Y4*(1+'KEEI BAU - Oil Supply'!AP9)</f>
        <v>113970269576.54706</v>
      </c>
      <c r="AA4" s="179">
        <f>Z4*(1+'KEEI BAU - Oil Supply'!AQ9)</f>
        <v>113797254943.88159</v>
      </c>
      <c r="AB4" s="179">
        <f>AA4*(1+'KEEI BAU - Oil Supply'!AR9)</f>
        <v>113624240311.21613</v>
      </c>
      <c r="AC4" s="179">
        <f>AB4*(1+'KEEI BAU - Oil Supply'!AS9)</f>
        <v>113451225678.55066</v>
      </c>
      <c r="AD4" s="179">
        <f>AC4*(1+'KEEI BAU - Oil Supply'!AT9)</f>
        <v>113278211045.88521</v>
      </c>
      <c r="AE4" s="179">
        <f>AD4*(1+'KEEI BAU - Oil Supply'!AU9)</f>
        <v>113105196413.21974</v>
      </c>
      <c r="AF4" s="179">
        <f>AE4*(1+'KEEI BAU - Oil Supply'!AV9)</f>
        <v>112932181780.55429</v>
      </c>
    </row>
    <row r="5" spans="1:35">
      <c r="A5" s="4" t="s">
        <v>5</v>
      </c>
      <c r="B5" s="179">
        <f>'KEEI BAU - Industry'!R$37*'Others Split'!$D$48*'Others Split'!$M$7</f>
        <v>128866512572.49394</v>
      </c>
      <c r="C5" s="179">
        <f>'KEEI BAU - Industry'!S$37*'Others Split'!$D$48*'Others Split'!$M$7</f>
        <v>131725585301.72812</v>
      </c>
      <c r="D5" s="179">
        <f>'KEEI BAU - Industry'!T$37*'Others Split'!$D$48*'Others Split'!$M$7</f>
        <v>134584658030.96231</v>
      </c>
      <c r="E5" s="179">
        <f>'KEEI BAU - Industry'!U$37*'Others Split'!$D$48*'Others Split'!$M$7</f>
        <v>137443730760.1965</v>
      </c>
      <c r="F5" s="179">
        <f>'KEEI BAU - Industry'!V$37*'Others Split'!$D$48*'Others Split'!$M$7</f>
        <v>140302803489.43066</v>
      </c>
      <c r="G5" s="179">
        <f>'KEEI BAU - Industry'!W$37*'Others Split'!$D$48*'Others Split'!$M$7</f>
        <v>143161876218.66486</v>
      </c>
      <c r="H5" s="179">
        <f>'KEEI BAU - Industry'!X$37*'Others Split'!$D$48*'Others Split'!$M$7</f>
        <v>144483100340.75076</v>
      </c>
      <c r="I5" s="179">
        <f>'KEEI BAU - Industry'!Y$37*'Others Split'!$D$48*'Others Split'!$M$7</f>
        <v>145804324462.83624</v>
      </c>
      <c r="J5" s="179">
        <f>'KEEI BAU - Industry'!Z$37*'Others Split'!$D$48*'Others Split'!$M$7</f>
        <v>147125548584.92175</v>
      </c>
      <c r="K5" s="179">
        <f>'KEEI BAU - Industry'!AA$37*'Others Split'!$D$48*'Others Split'!$M$7</f>
        <v>148446772707.00723</v>
      </c>
      <c r="L5" s="179">
        <f>'KEEI BAU - Industry'!AB$37*'Others Split'!$D$48*'Others Split'!$M$7</f>
        <v>149767996829.09299</v>
      </c>
      <c r="M5" s="179">
        <f>'KEEI BAU - Industry'!AC$37*'Others Split'!$D$48*'Others Split'!$M$7</f>
        <v>150707338895.95749</v>
      </c>
      <c r="N5" s="179">
        <f>'KEEI BAU - Industry'!AD$37*'Others Split'!$D$48*'Others Split'!$M$7</f>
        <v>151646680962.82227</v>
      </c>
      <c r="O5" s="179">
        <f>'KEEI BAU - Industry'!AE$37*'Others Split'!$D$48*'Others Split'!$M$7</f>
        <v>152586023029.68701</v>
      </c>
      <c r="P5" s="179">
        <f>'KEEI BAU - Industry'!AF$37*'Others Split'!$D$48*'Others Split'!$M$7</f>
        <v>153525365096.55179</v>
      </c>
      <c r="Q5" s="179">
        <f>'KEEI BAU - Industry'!AG$37*'Others Split'!$D$48*'Others Split'!$M$7</f>
        <v>154464707163.41647</v>
      </c>
      <c r="R5" s="179">
        <f>'KEEI BAU - Industry'!AH$37*'Others Split'!$D$48*'Others Split'!$M$7</f>
        <v>155202134580.39478</v>
      </c>
      <c r="S5" s="179">
        <f>'KEEI BAU - Industry'!AI$37*'Others Split'!$D$48*'Others Split'!$M$7</f>
        <v>155939561997.37244</v>
      </c>
      <c r="T5" s="179">
        <f>'KEEI BAU - Industry'!AJ$37*'Others Split'!$D$48*'Others Split'!$M$7</f>
        <v>156676989414.3504</v>
      </c>
      <c r="U5" s="179">
        <f>'KEEI BAU - Industry'!AK$37*'Others Split'!$D$48*'Others Split'!$M$7</f>
        <v>157414416831.32834</v>
      </c>
      <c r="V5" s="179">
        <f>'KEEI BAU - Industry'!AL$37*'Others Split'!$D$48*'Others Split'!$M$7</f>
        <v>158151844248.30603</v>
      </c>
      <c r="W5" s="179">
        <f>'KEEI BAU - Industry'!AM$37*'Others Split'!$D$48*'Others Split'!$M$7</f>
        <v>159158491198.46646</v>
      </c>
      <c r="X5" s="179">
        <f>'KEEI BAU - Industry'!AN$37*'Others Split'!$D$48*'Others Split'!$M$7</f>
        <v>159981579376.00238</v>
      </c>
      <c r="Y5" s="179">
        <f>'KEEI BAU - Industry'!AO$37*'Others Split'!$D$48*'Others Split'!$M$7</f>
        <v>160804667553.53857</v>
      </c>
      <c r="Z5" s="179">
        <f>'KEEI BAU - Industry'!AP$37*'Others Split'!$D$48*'Others Split'!$M$7</f>
        <v>161627755731.07449</v>
      </c>
      <c r="AA5" s="179">
        <f>'KEEI BAU - Industry'!AQ$37*'Others Split'!$D$48*'Others Split'!$M$7</f>
        <v>162450843908.61038</v>
      </c>
      <c r="AB5" s="179">
        <f>'KEEI BAU - Industry'!AR$37*'Others Split'!$D$48*'Others Split'!$M$7</f>
        <v>163273932086.1463</v>
      </c>
      <c r="AC5" s="179">
        <f>'KEEI BAU - Industry'!AS$37*'Others Split'!$D$48*'Others Split'!$M$7</f>
        <v>164097020263.6825</v>
      </c>
      <c r="AD5" s="179">
        <f>'KEEI BAU - Industry'!AT$37*'Others Split'!$D$48*'Others Split'!$M$7</f>
        <v>164920108441.21838</v>
      </c>
      <c r="AE5" s="179">
        <f>'KEEI BAU - Industry'!AU$37*'Others Split'!$D$48*'Others Split'!$M$7</f>
        <v>165743196618.7543</v>
      </c>
      <c r="AF5" s="179">
        <f>'KEEI BAU - Industry'!AV$37*'Others Split'!$D$48*'Others Split'!$M$7</f>
        <v>166566284796.2905</v>
      </c>
    </row>
    <row r="6" spans="1:35">
      <c r="A6" s="4" t="s">
        <v>6</v>
      </c>
      <c r="B6" s="179">
        <f>'KEEI BAU - Industry'!R$37*'Others Split'!$D$48*'Others Split'!$M$8</f>
        <v>1459611717669.1831</v>
      </c>
      <c r="C6" s="179">
        <f>'KEEI BAU - Industry'!S$37*'Others Split'!$D$48*'Others Split'!$M$8</f>
        <v>1491995119485.1594</v>
      </c>
      <c r="D6" s="179">
        <f>'KEEI BAU - Industry'!T$37*'Others Split'!$D$48*'Others Split'!$M$8</f>
        <v>1524378521301.1357</v>
      </c>
      <c r="E6" s="179">
        <f>'KEEI BAU - Industry'!U$37*'Others Split'!$D$48*'Others Split'!$M$8</f>
        <v>1556761923117.1121</v>
      </c>
      <c r="F6" s="179">
        <f>'KEEI BAU - Industry'!V$37*'Others Split'!$D$48*'Others Split'!$M$8</f>
        <v>1589145324933.0881</v>
      </c>
      <c r="G6" s="179">
        <f>'KEEI BAU - Industry'!W$37*'Others Split'!$D$48*'Others Split'!$M$8</f>
        <v>1621528726749.0647</v>
      </c>
      <c r="H6" s="179">
        <f>'KEEI BAU - Industry'!X$37*'Others Split'!$D$48*'Others Split'!$M$8</f>
        <v>1636493624702.51</v>
      </c>
      <c r="I6" s="179">
        <f>'KEEI BAU - Industry'!Y$37*'Others Split'!$D$48*'Others Split'!$M$8</f>
        <v>1651458522655.9507</v>
      </c>
      <c r="J6" s="179">
        <f>'KEEI BAU - Industry'!Z$37*'Others Split'!$D$48*'Others Split'!$M$8</f>
        <v>1666423420609.3914</v>
      </c>
      <c r="K6" s="179">
        <f>'KEEI BAU - Industry'!AA$37*'Others Split'!$D$48*'Others Split'!$M$8</f>
        <v>1681388318562.832</v>
      </c>
      <c r="L6" s="179">
        <f>'KEEI BAU - Industry'!AB$37*'Others Split'!$D$48*'Others Split'!$M$8</f>
        <v>1696353216516.2759</v>
      </c>
      <c r="M6" s="179">
        <f>'KEEI BAU - Industry'!AC$37*'Others Split'!$D$48*'Others Split'!$M$8</f>
        <v>1706992712071.2107</v>
      </c>
      <c r="N6" s="179">
        <f>'KEEI BAU - Industry'!AD$37*'Others Split'!$D$48*'Others Split'!$M$8</f>
        <v>1717632207626.1487</v>
      </c>
      <c r="O6" s="179">
        <f>'KEEI BAU - Industry'!AE$37*'Others Split'!$D$48*'Others Split'!$M$8</f>
        <v>1728271703181.0867</v>
      </c>
      <c r="P6" s="179">
        <f>'KEEI BAU - Industry'!AF$37*'Others Split'!$D$48*'Others Split'!$M$8</f>
        <v>1738911198736.0247</v>
      </c>
      <c r="Q6" s="179">
        <f>'KEEI BAU - Industry'!AG$37*'Others Split'!$D$48*'Others Split'!$M$8</f>
        <v>1749550694290.9617</v>
      </c>
      <c r="R6" s="179">
        <f>'KEEI BAU - Industry'!AH$37*'Others Split'!$D$48*'Others Split'!$M$8</f>
        <v>1757903195474.2815</v>
      </c>
      <c r="S6" s="179">
        <f>'KEEI BAU - Industry'!AI$37*'Others Split'!$D$48*'Others Split'!$M$8</f>
        <v>1766255696657.594</v>
      </c>
      <c r="T6" s="179">
        <f>'KEEI BAU - Industry'!AJ$37*'Others Split'!$D$48*'Others Split'!$M$8</f>
        <v>1774608197840.9099</v>
      </c>
      <c r="U6" s="179">
        <f>'KEEI BAU - Industry'!AK$37*'Others Split'!$D$48*'Others Split'!$M$8</f>
        <v>1782960699024.2256</v>
      </c>
      <c r="V6" s="179">
        <f>'KEEI BAU - Industry'!AL$37*'Others Split'!$D$48*'Others Split'!$M$8</f>
        <v>1791313200207.5386</v>
      </c>
      <c r="W6" s="179">
        <f>'KEEI BAU - Industry'!AM$37*'Others Split'!$D$48*'Others Split'!$M$8</f>
        <v>1802715027219.6846</v>
      </c>
      <c r="X6" s="179">
        <f>'KEEI BAU - Industry'!AN$37*'Others Split'!$D$48*'Others Split'!$M$8</f>
        <v>1812037768439.4451</v>
      </c>
      <c r="Y6" s="179">
        <f>'KEEI BAU - Industry'!AO$37*'Others Split'!$D$48*'Others Split'!$M$8</f>
        <v>1821360509659.209</v>
      </c>
      <c r="Z6" s="179">
        <f>'KEEI BAU - Industry'!AP$37*'Others Split'!$D$48*'Others Split'!$M$8</f>
        <v>1830683250878.9695</v>
      </c>
      <c r="AA6" s="179">
        <f>'KEEI BAU - Industry'!AQ$37*'Others Split'!$D$48*'Others Split'!$M$8</f>
        <v>1840005992098.73</v>
      </c>
      <c r="AB6" s="179">
        <f>'KEEI BAU - Industry'!AR$37*'Others Split'!$D$48*'Others Split'!$M$8</f>
        <v>1849328733318.4905</v>
      </c>
      <c r="AC6" s="179">
        <f>'KEEI BAU - Industry'!AS$37*'Others Split'!$D$48*'Others Split'!$M$8</f>
        <v>1858651474538.2544</v>
      </c>
      <c r="AD6" s="179">
        <f>'KEEI BAU - Industry'!AT$37*'Others Split'!$D$48*'Others Split'!$M$8</f>
        <v>1867974215758.0149</v>
      </c>
      <c r="AE6" s="179">
        <f>'KEEI BAU - Industry'!AU$37*'Others Split'!$D$48*'Others Split'!$M$8</f>
        <v>1877296956977.7756</v>
      </c>
      <c r="AF6" s="179">
        <f>'KEEI BAU - Industry'!AV$37*'Others Split'!$D$48*'Others Split'!$M$8</f>
        <v>1886619698197.5393</v>
      </c>
    </row>
    <row r="7" spans="1:35">
      <c r="A7" s="4" t="s">
        <v>7</v>
      </c>
      <c r="B7" s="179">
        <f>'KEEI BAU - Industry'!R$37*'Others Split'!$D$48*'Others Split'!$M$9</f>
        <v>233141546136.24893</v>
      </c>
      <c r="C7" s="179">
        <f>'KEEI BAU - Industry'!S$37*'Others Split'!$D$48*'Others Split'!$M$9</f>
        <v>238314097354.58551</v>
      </c>
      <c r="D7" s="179">
        <f>'KEEI BAU - Industry'!T$37*'Others Split'!$D$48*'Others Split'!$M$9</f>
        <v>243486648572.92215</v>
      </c>
      <c r="E7" s="179">
        <f>'KEEI BAU - Industry'!U$37*'Others Split'!$D$48*'Others Split'!$M$9</f>
        <v>248659199791.25873</v>
      </c>
      <c r="F7" s="179">
        <f>'KEEI BAU - Industry'!V$37*'Others Split'!$D$48*'Others Split'!$M$9</f>
        <v>253831751009.59534</v>
      </c>
      <c r="G7" s="179">
        <f>'KEEI BAU - Industry'!W$37*'Others Split'!$D$48*'Others Split'!$M$9</f>
        <v>259004302227.93195</v>
      </c>
      <c r="H7" s="179">
        <f>'KEEI BAU - Industry'!X$37*'Others Split'!$D$48*'Others Split'!$M$9</f>
        <v>261394622478.44955</v>
      </c>
      <c r="I7" s="179">
        <f>'KEEI BAU - Industry'!Y$37*'Others Split'!$D$48*'Others Split'!$M$9</f>
        <v>263784942728.9664</v>
      </c>
      <c r="J7" s="179">
        <f>'KEEI BAU - Industry'!Z$37*'Others Split'!$D$48*'Others Split'!$M$9</f>
        <v>266175262979.48331</v>
      </c>
      <c r="K7" s="179">
        <f>'KEEI BAU - Industry'!AA$37*'Others Split'!$D$48*'Others Split'!$M$9</f>
        <v>268565583230.00015</v>
      </c>
      <c r="L7" s="179">
        <f>'KEEI BAU - Industry'!AB$37*'Others Split'!$D$48*'Others Split'!$M$9</f>
        <v>270955903480.51752</v>
      </c>
      <c r="M7" s="179">
        <f>'KEEI BAU - Industry'!AC$37*'Others Split'!$D$48*'Others Split'!$M$9</f>
        <v>272655333824.73831</v>
      </c>
      <c r="N7" s="179">
        <f>'KEEI BAU - Industry'!AD$37*'Others Split'!$D$48*'Others Split'!$M$9</f>
        <v>274354764168.95963</v>
      </c>
      <c r="O7" s="179">
        <f>'KEEI BAU - Industry'!AE$37*'Others Split'!$D$48*'Others Split'!$M$9</f>
        <v>276054194513.18091</v>
      </c>
      <c r="P7" s="179">
        <f>'KEEI BAU - Industry'!AF$37*'Others Split'!$D$48*'Others Split'!$M$9</f>
        <v>277753624857.40222</v>
      </c>
      <c r="Q7" s="179">
        <f>'KEEI BAU - Industry'!AG$37*'Others Split'!$D$48*'Others Split'!$M$9</f>
        <v>279453055201.62341</v>
      </c>
      <c r="R7" s="179">
        <f>'KEEI BAU - Industry'!AH$37*'Others Split'!$D$48*'Others Split'!$M$9</f>
        <v>280787187434.47064</v>
      </c>
      <c r="S7" s="179">
        <f>'KEEI BAU - Industry'!AI$37*'Others Split'!$D$48*'Others Split'!$M$9</f>
        <v>282121319667.31677</v>
      </c>
      <c r="T7" s="179">
        <f>'KEEI BAU - Industry'!AJ$37*'Others Split'!$D$48*'Others Split'!$M$9</f>
        <v>283455451900.16339</v>
      </c>
      <c r="U7" s="179">
        <f>'KEEI BAU - Industry'!AK$37*'Others Split'!$D$48*'Others Split'!$M$9</f>
        <v>284789584133.01001</v>
      </c>
      <c r="V7" s="179">
        <f>'KEEI BAU - Industry'!AL$37*'Others Split'!$D$48*'Others Split'!$M$9</f>
        <v>286123716365.8562</v>
      </c>
      <c r="W7" s="179">
        <f>'KEEI BAU - Industry'!AM$37*'Others Split'!$D$48*'Others Split'!$M$9</f>
        <v>287944912747.20245</v>
      </c>
      <c r="X7" s="179">
        <f>'KEEI BAU - Industry'!AN$37*'Others Split'!$D$48*'Others Split'!$M$9</f>
        <v>289434019936.38971</v>
      </c>
      <c r="Y7" s="179">
        <f>'KEEI BAU - Industry'!AO$37*'Others Split'!$D$48*'Others Split'!$M$9</f>
        <v>290923127125.57745</v>
      </c>
      <c r="Z7" s="179">
        <f>'KEEI BAU - Industry'!AP$37*'Others Split'!$D$48*'Others Split'!$M$9</f>
        <v>292412234314.76471</v>
      </c>
      <c r="AA7" s="179">
        <f>'KEEI BAU - Industry'!AQ$37*'Others Split'!$D$48*'Others Split'!$M$9</f>
        <v>293901341503.95197</v>
      </c>
      <c r="AB7" s="179">
        <f>'KEEI BAU - Industry'!AR$37*'Others Split'!$D$48*'Others Split'!$M$9</f>
        <v>295390448693.13922</v>
      </c>
      <c r="AC7" s="179">
        <f>'KEEI BAU - Industry'!AS$37*'Others Split'!$D$48*'Others Split'!$M$9</f>
        <v>296879555882.32697</v>
      </c>
      <c r="AD7" s="179">
        <f>'KEEI BAU - Industry'!AT$37*'Others Split'!$D$48*'Others Split'!$M$9</f>
        <v>298368663071.51422</v>
      </c>
      <c r="AE7" s="179">
        <f>'KEEI BAU - Industry'!AU$37*'Others Split'!$D$48*'Others Split'!$M$9</f>
        <v>299857770260.70142</v>
      </c>
      <c r="AF7" s="179">
        <f>'KEEI BAU - Industry'!AV$37*'Others Split'!$D$48*'Others Split'!$M$9</f>
        <v>301346877449.88922</v>
      </c>
    </row>
    <row r="8" spans="1:35">
      <c r="A8" s="4" t="s">
        <v>8</v>
      </c>
      <c r="B8" s="179">
        <f>'KEEI BAU - Industry'!R$37*'Others Split'!$D$48*'Others Split'!$M$10</f>
        <v>14384821458.995386</v>
      </c>
      <c r="C8" s="179">
        <f>'KEEI BAU - Industry'!S$37*'Others Split'!$D$48*'Others Split'!$M$10</f>
        <v>14703967604.315182</v>
      </c>
      <c r="D8" s="179">
        <f>'KEEI BAU - Industry'!T$37*'Others Split'!$D$48*'Others Split'!$M$10</f>
        <v>15023113749.634977</v>
      </c>
      <c r="E8" s="179">
        <f>'KEEI BAU - Industry'!U$37*'Others Split'!$D$48*'Others Split'!$M$10</f>
        <v>15342259894.954773</v>
      </c>
      <c r="F8" s="179">
        <f>'KEEI BAU - Industry'!V$37*'Others Split'!$D$48*'Others Split'!$M$10</f>
        <v>15661406040.274567</v>
      </c>
      <c r="G8" s="179">
        <f>'KEEI BAU - Industry'!W$37*'Others Split'!$D$48*'Others Split'!$M$10</f>
        <v>15980552185.594364</v>
      </c>
      <c r="H8" s="179">
        <f>'KEEI BAU - Industry'!X$37*'Others Split'!$D$48*'Others Split'!$M$10</f>
        <v>16128034822.659071</v>
      </c>
      <c r="I8" s="179">
        <f>'KEEI BAU - Industry'!Y$37*'Others Split'!$D$48*'Others Split'!$M$10</f>
        <v>16275517459.72373</v>
      </c>
      <c r="J8" s="179">
        <f>'KEEI BAU - Industry'!Z$37*'Others Split'!$D$48*'Others Split'!$M$10</f>
        <v>16423000096.788393</v>
      </c>
      <c r="K8" s="179">
        <f>'KEEI BAU - Industry'!AA$37*'Others Split'!$D$48*'Others Split'!$M$10</f>
        <v>16570482733.853052</v>
      </c>
      <c r="L8" s="179">
        <f>'KEEI BAU - Industry'!AB$37*'Others Split'!$D$48*'Others Split'!$M$10</f>
        <v>16717965370.917746</v>
      </c>
      <c r="M8" s="179">
        <f>'KEEI BAU - Industry'!AC$37*'Others Split'!$D$48*'Others Split'!$M$10</f>
        <v>16822820136.139765</v>
      </c>
      <c r="N8" s="179">
        <f>'KEEI BAU - Industry'!AD$37*'Others Split'!$D$48*'Others Split'!$M$10</f>
        <v>16927674901.361816</v>
      </c>
      <c r="O8" s="179">
        <f>'KEEI BAU - Industry'!AE$37*'Others Split'!$D$48*'Others Split'!$M$10</f>
        <v>17032529666.583866</v>
      </c>
      <c r="P8" s="179">
        <f>'KEEI BAU - Industry'!AF$37*'Others Split'!$D$48*'Others Split'!$M$10</f>
        <v>17137384431.80592</v>
      </c>
      <c r="Q8" s="179">
        <f>'KEEI BAU - Industry'!AG$37*'Others Split'!$D$48*'Others Split'!$M$10</f>
        <v>17242239197.027962</v>
      </c>
      <c r="R8" s="179">
        <f>'KEEI BAU - Industry'!AH$37*'Others Split'!$D$48*'Others Split'!$M$10</f>
        <v>17324555087.482697</v>
      </c>
      <c r="S8" s="179">
        <f>'KEEI BAU - Industry'!AI$37*'Others Split'!$D$48*'Others Split'!$M$10</f>
        <v>17406870977.937359</v>
      </c>
      <c r="T8" s="179">
        <f>'KEEI BAU - Industry'!AJ$37*'Others Split'!$D$48*'Others Split'!$M$10</f>
        <v>17489186868.392056</v>
      </c>
      <c r="U8" s="179">
        <f>'KEEI BAU - Industry'!AK$37*'Others Split'!$D$48*'Others Split'!$M$10</f>
        <v>17571502758.846748</v>
      </c>
      <c r="V8" s="179">
        <f>'KEEI BAU - Industry'!AL$37*'Others Split'!$D$48*'Others Split'!$M$10</f>
        <v>17653818649.301414</v>
      </c>
      <c r="W8" s="179">
        <f>'KEEI BAU - Industry'!AM$37*'Others Split'!$D$48*'Others Split'!$M$10</f>
        <v>17766186372.779259</v>
      </c>
      <c r="X8" s="179">
        <f>'KEEI BAU - Industry'!AN$37*'Others Split'!$D$48*'Others Split'!$M$10</f>
        <v>17858064210.104942</v>
      </c>
      <c r="Y8" s="179">
        <f>'KEEI BAU - Industry'!AO$37*'Others Split'!$D$48*'Others Split'!$M$10</f>
        <v>17949942047.43066</v>
      </c>
      <c r="Z8" s="179">
        <f>'KEEI BAU - Industry'!AP$37*'Others Split'!$D$48*'Others Split'!$M$10</f>
        <v>18041819884.756344</v>
      </c>
      <c r="AA8" s="179">
        <f>'KEEI BAU - Industry'!AQ$37*'Others Split'!$D$48*'Others Split'!$M$10</f>
        <v>18133697722.082031</v>
      </c>
      <c r="AB8" s="179">
        <f>'KEEI BAU - Industry'!AR$37*'Others Split'!$D$48*'Others Split'!$M$10</f>
        <v>18225575559.407715</v>
      </c>
      <c r="AC8" s="179">
        <f>'KEEI BAU - Industry'!AS$37*'Others Split'!$D$48*'Others Split'!$M$10</f>
        <v>18317453396.733433</v>
      </c>
      <c r="AD8" s="179">
        <f>'KEEI BAU - Industry'!AT$37*'Others Split'!$D$48*'Others Split'!$M$10</f>
        <v>18409331234.059116</v>
      </c>
      <c r="AE8" s="179">
        <f>'KEEI BAU - Industry'!AU$37*'Others Split'!$D$48*'Others Split'!$M$10</f>
        <v>18501209071.3848</v>
      </c>
      <c r="AF8" s="179">
        <f>'KEEI BAU - Industry'!AV$37*'Others Split'!$D$48*'Others Split'!$M$10</f>
        <v>18593086908.710518</v>
      </c>
    </row>
    <row r="9" spans="1:35">
      <c r="A9" s="4" t="s">
        <v>9</v>
      </c>
      <c r="B9" s="179">
        <f>'KEEI BAU - Industry'!R$37*'Others Split'!$D$48*'Others Split'!$M$11</f>
        <v>317540457103.1347</v>
      </c>
      <c r="C9" s="179">
        <f>'KEEI BAU - Industry'!S$37*'Others Split'!$D$48*'Others Split'!$M$11</f>
        <v>324585508941.72937</v>
      </c>
      <c r="D9" s="179">
        <f>'KEEI BAU - Industry'!T$37*'Others Split'!$D$48*'Others Split'!$M$11</f>
        <v>331630560780.32404</v>
      </c>
      <c r="E9" s="179">
        <f>'KEEI BAU - Industry'!U$37*'Others Split'!$D$48*'Others Split'!$M$11</f>
        <v>338675612618.91864</v>
      </c>
      <c r="F9" s="179">
        <f>'KEEI BAU - Industry'!V$37*'Others Split'!$D$48*'Others Split'!$M$11</f>
        <v>345720664457.51331</v>
      </c>
      <c r="G9" s="179">
        <f>'KEEI BAU - Industry'!W$37*'Others Split'!$D$48*'Others Split'!$M$11</f>
        <v>352765716296.10797</v>
      </c>
      <c r="H9" s="179">
        <f>'KEEI BAU - Industry'!X$37*'Others Split'!$D$48*'Others Split'!$M$11</f>
        <v>356021349612.22516</v>
      </c>
      <c r="I9" s="179">
        <f>'KEEI BAU - Industry'!Y$37*'Others Split'!$D$48*'Others Split'!$M$11</f>
        <v>359276982928.34131</v>
      </c>
      <c r="J9" s="179">
        <f>'KEEI BAU - Industry'!Z$37*'Others Split'!$D$48*'Others Split'!$M$11</f>
        <v>362532616244.45752</v>
      </c>
      <c r="K9" s="179">
        <f>'KEEI BAU - Industry'!AA$37*'Others Split'!$D$48*'Others Split'!$M$11</f>
        <v>365788249560.57367</v>
      </c>
      <c r="L9" s="179">
        <f>'KEEI BAU - Industry'!AB$37*'Others Split'!$D$48*'Others Split'!$M$11</f>
        <v>369043882876.69049</v>
      </c>
      <c r="M9" s="179">
        <f>'KEEI BAU - Industry'!AC$37*'Others Split'!$D$48*'Others Split'!$M$11</f>
        <v>371358519187.81561</v>
      </c>
      <c r="N9" s="179">
        <f>'KEEI BAU - Industry'!AD$37*'Others Split'!$D$48*'Others Split'!$M$11</f>
        <v>373673155498.94141</v>
      </c>
      <c r="O9" s="179">
        <f>'KEEI BAU - Industry'!AE$37*'Others Split'!$D$48*'Others Split'!$M$11</f>
        <v>375987791810.06714</v>
      </c>
      <c r="P9" s="179">
        <f>'KEEI BAU - Industry'!AF$37*'Others Split'!$D$48*'Others Split'!$M$11</f>
        <v>378302428121.19293</v>
      </c>
      <c r="Q9" s="179">
        <f>'KEEI BAU - Industry'!AG$37*'Others Split'!$D$48*'Others Split'!$M$11</f>
        <v>380617064432.31854</v>
      </c>
      <c r="R9" s="179">
        <f>'KEEI BAU - Industry'!AH$37*'Others Split'!$D$48*'Others Split'!$M$11</f>
        <v>382434162097.12842</v>
      </c>
      <c r="S9" s="179">
        <f>'KEEI BAU - Industry'!AI$37*'Others Split'!$D$48*'Others Split'!$M$11</f>
        <v>384251259761.93677</v>
      </c>
      <c r="T9" s="179">
        <f>'KEEI BAU - Industry'!AJ$37*'Others Split'!$D$48*'Others Split'!$M$11</f>
        <v>386068357426.74579</v>
      </c>
      <c r="U9" s="179">
        <f>'KEEI BAU - Industry'!AK$37*'Others Split'!$D$48*'Others Split'!$M$11</f>
        <v>387885455091.55481</v>
      </c>
      <c r="V9" s="179">
        <f>'KEEI BAU - Industry'!AL$37*'Others Split'!$D$48*'Others Split'!$M$11</f>
        <v>389702552756.36322</v>
      </c>
      <c r="W9" s="179">
        <f>'KEEI BAU - Industry'!AM$37*'Others Split'!$D$48*'Others Split'!$M$11</f>
        <v>392183035282.9281</v>
      </c>
      <c r="X9" s="179">
        <f>'KEEI BAU - Industry'!AN$37*'Others Split'!$D$48*'Others Split'!$M$11</f>
        <v>394211209949.20459</v>
      </c>
      <c r="Y9" s="179">
        <f>'KEEI BAU - Industry'!AO$37*'Others Split'!$D$48*'Others Split'!$M$11</f>
        <v>396239384615.48181</v>
      </c>
      <c r="Z9" s="179">
        <f>'KEEI BAU - Industry'!AP$37*'Others Split'!$D$48*'Others Split'!$M$11</f>
        <v>398267559281.75836</v>
      </c>
      <c r="AA9" s="179">
        <f>'KEEI BAU - Industry'!AQ$37*'Others Split'!$D$48*'Others Split'!$M$11</f>
        <v>400295733948.03491</v>
      </c>
      <c r="AB9" s="179">
        <f>'KEEI BAU - Industry'!AR$37*'Others Split'!$D$48*'Others Split'!$M$11</f>
        <v>402323908614.3114</v>
      </c>
      <c r="AC9" s="179">
        <f>'KEEI BAU - Industry'!AS$37*'Others Split'!$D$48*'Others Split'!$M$11</f>
        <v>404352083280.58868</v>
      </c>
      <c r="AD9" s="179">
        <f>'KEEI BAU - Industry'!AT$37*'Others Split'!$D$48*'Others Split'!$M$11</f>
        <v>406380257946.86517</v>
      </c>
      <c r="AE9" s="179">
        <f>'KEEI BAU - Industry'!AU$37*'Others Split'!$D$48*'Others Split'!$M$11</f>
        <v>408408432613.14172</v>
      </c>
      <c r="AF9" s="179">
        <f>'KEEI BAU - Industry'!AV$37*'Others Split'!$D$48*'Others Split'!$M$11</f>
        <v>410436607279.41895</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Split'!$D$39*'Petrochemicals Split'!$I$6</f>
        <v>1222689947913445.8</v>
      </c>
      <c r="C11" s="179">
        <f>'KEEI BAU - Industry'!S$9*'Petrochemicals Split'!$D$39*'Petrochemicals Split'!$I$6</f>
        <v>1262781322269723.8</v>
      </c>
      <c r="D11" s="179">
        <f>'KEEI BAU - Industry'!T$9*'Petrochemicals Split'!$D$39*'Petrochemicals Split'!$I$6</f>
        <v>1302872696626002.3</v>
      </c>
      <c r="E11" s="179">
        <f>'KEEI BAU - Industry'!U$9*'Petrochemicals Split'!$D$39*'Petrochemicals Split'!$I$6</f>
        <v>1342964070982280.5</v>
      </c>
      <c r="F11" s="179">
        <f>'KEEI BAU - Industry'!V$9*'Petrochemicals Split'!$D$39*'Petrochemicals Split'!$I$6</f>
        <v>1383055445338559</v>
      </c>
      <c r="G11" s="179">
        <f>'KEEI BAU - Industry'!W$9*'Petrochemicals Split'!$D$39*'Petrochemicals Split'!$I$6</f>
        <v>1423146819694837.3</v>
      </c>
      <c r="H11" s="179">
        <f>'KEEI BAU - Industry'!X$9*'Petrochemicals Split'!$D$39*'Petrochemicals Split'!$I$6</f>
        <v>1431399851911636</v>
      </c>
      <c r="I11" s="179">
        <f>'KEEI BAU - Industry'!Y$9*'Petrochemicals Split'!$D$39*'Petrochemicals Split'!$I$6</f>
        <v>1439652884128433</v>
      </c>
      <c r="J11" s="179">
        <f>'KEEI BAU - Industry'!Z$9*'Petrochemicals Split'!$D$39*'Petrochemicals Split'!$I$6</f>
        <v>1447905916345232</v>
      </c>
      <c r="K11" s="179">
        <f>'KEEI BAU - Industry'!AA$9*'Petrochemicals Split'!$D$39*'Petrochemicals Split'!$I$6</f>
        <v>1456158948562028.8</v>
      </c>
      <c r="L11" s="179">
        <f>'KEEI BAU - Industry'!AB$9*'Petrochemicals Split'!$D$39*'Petrochemicals Split'!$I$6</f>
        <v>1464411980778826.5</v>
      </c>
      <c r="M11" s="179">
        <f>'KEEI BAU - Industry'!AC$9*'Petrochemicals Split'!$D$39*'Petrochemicals Split'!$I$6</f>
        <v>1467967699666479.3</v>
      </c>
      <c r="N11" s="179">
        <f>'KEEI BAU - Industry'!AD$9*'Petrochemicals Split'!$D$39*'Petrochemicals Split'!$I$6</f>
        <v>1471523418554133</v>
      </c>
      <c r="O11" s="179">
        <f>'KEEI BAU - Industry'!AE$9*'Petrochemicals Split'!$D$39*'Petrochemicals Split'!$I$6</f>
        <v>1475079137441786.5</v>
      </c>
      <c r="P11" s="179">
        <f>'KEEI BAU - Industry'!AF$9*'Petrochemicals Split'!$D$39*'Petrochemicals Split'!$I$6</f>
        <v>1478634856329440.3</v>
      </c>
      <c r="Q11" s="179">
        <f>'KEEI BAU - Industry'!AG$9*'Petrochemicals Split'!$D$39*'Petrochemicals Split'!$I$6</f>
        <v>1482190575217094.8</v>
      </c>
      <c r="R11" s="179">
        <f>'KEEI BAU - Industry'!AH$9*'Petrochemicals Split'!$D$39*'Petrochemicals Split'!$I$6</f>
        <v>1483696334193684.8</v>
      </c>
      <c r="S11" s="179">
        <f>'KEEI BAU - Industry'!AI$9*'Petrochemicals Split'!$D$39*'Petrochemicals Split'!$I$6</f>
        <v>1485202093170274.5</v>
      </c>
      <c r="T11" s="179">
        <f>'KEEI BAU - Industry'!AJ$9*'Petrochemicals Split'!$D$39*'Petrochemicals Split'!$I$6</f>
        <v>1486707852146864.3</v>
      </c>
      <c r="U11" s="179">
        <f>'KEEI BAU - Industry'!AK$9*'Petrochemicals Split'!$D$39*'Petrochemicals Split'!$I$6</f>
        <v>1488213611123454.3</v>
      </c>
      <c r="V11" s="179">
        <f>'KEEI BAU - Industry'!AL$9*'Petrochemicals Split'!$D$39*'Petrochemicals Split'!$I$6</f>
        <v>1489719370100044</v>
      </c>
      <c r="W11" s="179">
        <f>'KEEI BAU - Industry'!AM$9*'Petrochemicals Split'!$D$39*'Petrochemicals Split'!$I$6</f>
        <v>1493958408958052.8</v>
      </c>
      <c r="X11" s="179">
        <f>'KEEI BAU - Industry'!AN$9*'Petrochemicals Split'!$D$39*'Petrochemicals Split'!$I$6</f>
        <v>1496333847896912.3</v>
      </c>
      <c r="Y11" s="179">
        <f>'KEEI BAU - Industry'!AO$9*'Petrochemicals Split'!$D$39*'Petrochemicals Split'!$I$6</f>
        <v>1498709286835772</v>
      </c>
      <c r="Z11" s="179">
        <f>'KEEI BAU - Industry'!AP$9*'Petrochemicals Split'!$D$39*'Petrochemicals Split'!$I$6</f>
        <v>1501084725774631.5</v>
      </c>
      <c r="AA11" s="179">
        <f>'KEEI BAU - Industry'!AQ$9*'Petrochemicals Split'!$D$39*'Petrochemicals Split'!$I$6</f>
        <v>1503460164713490</v>
      </c>
      <c r="AB11" s="179">
        <f>'KEEI BAU - Industry'!AR$9*'Petrochemicals Split'!$D$39*'Petrochemicals Split'!$I$6</f>
        <v>1505835603652349.8</v>
      </c>
      <c r="AC11" s="179">
        <f>'KEEI BAU - Industry'!AS$9*'Petrochemicals Split'!$D$39*'Petrochemicals Split'!$I$6</f>
        <v>1508211042591209.3</v>
      </c>
      <c r="AD11" s="179">
        <f>'KEEI BAU - Industry'!AT$9*'Petrochemicals Split'!$D$39*'Petrochemicals Split'!$I$6</f>
        <v>1510586481530068.8</v>
      </c>
      <c r="AE11" s="179">
        <f>'KEEI BAU - Industry'!AU$9*'Petrochemicals Split'!$D$39*'Petrochemicals Split'!$I$6</f>
        <v>1512961920468928.5</v>
      </c>
      <c r="AF11" s="179">
        <f>'KEEI BAU - Industry'!AV$9*'Petrochemicals Split'!$D$39*'Petrochemicals Split'!$I$6</f>
        <v>1515337359407788</v>
      </c>
    </row>
    <row r="12" spans="1:35">
      <c r="A12" s="4" t="s">
        <v>12</v>
      </c>
      <c r="B12" s="179">
        <f>'KEEI BAU - Industry'!R$9*'Petrochemicals Split'!$D$39*'Petrochemicals Split'!$I$7</f>
        <v>633178723026605.88</v>
      </c>
      <c r="C12" s="179">
        <f>'KEEI BAU - Industry'!S$9*'Petrochemicals Split'!$D$39*'Petrochemicals Split'!$I$7</f>
        <v>653940327603964.13</v>
      </c>
      <c r="D12" s="179">
        <f>'KEEI BAU - Industry'!T$9*'Petrochemicals Split'!$D$39*'Petrochemicals Split'!$I$7</f>
        <v>674701932181322.63</v>
      </c>
      <c r="E12" s="179">
        <f>'KEEI BAU - Industry'!U$9*'Petrochemicals Split'!$D$39*'Petrochemicals Split'!$I$7</f>
        <v>695463536758681</v>
      </c>
      <c r="F12" s="179">
        <f>'KEEI BAU - Industry'!V$9*'Petrochemicals Split'!$D$39*'Petrochemicals Split'!$I$7</f>
        <v>716225141336039.5</v>
      </c>
      <c r="G12" s="179">
        <f>'KEEI BAU - Industry'!W$9*'Petrochemicals Split'!$D$39*'Petrochemicals Split'!$I$7</f>
        <v>736986745913397.88</v>
      </c>
      <c r="H12" s="179">
        <f>'KEEI BAU - Industry'!X$9*'Petrochemicals Split'!$D$39*'Petrochemicals Split'!$I$7</f>
        <v>741260637597097.25</v>
      </c>
      <c r="I12" s="179">
        <f>'KEEI BAU - Industry'!Y$9*'Petrochemicals Split'!$D$39*'Petrochemicals Split'!$I$7</f>
        <v>745534529280795.75</v>
      </c>
      <c r="J12" s="179">
        <f>'KEEI BAU - Industry'!Z$9*'Petrochemicals Split'!$D$39*'Petrochemicals Split'!$I$7</f>
        <v>749808420964495.13</v>
      </c>
      <c r="K12" s="179">
        <f>'KEEI BAU - Industry'!AA$9*'Petrochemicals Split'!$D$39*'Petrochemicals Split'!$I$7</f>
        <v>754082312648193.5</v>
      </c>
      <c r="L12" s="179">
        <f>'KEEI BAU - Industry'!AB$9*'Petrochemicals Split'!$D$39*'Petrochemicals Split'!$I$7</f>
        <v>758356204331892.25</v>
      </c>
      <c r="M12" s="179">
        <f>'KEEI BAU - Industry'!AC$9*'Petrochemicals Split'!$D$39*'Petrochemicals Split'!$I$7</f>
        <v>760197558755855.38</v>
      </c>
      <c r="N12" s="179">
        <f>'KEEI BAU - Industry'!AD$9*'Petrochemicals Split'!$D$39*'Petrochemicals Split'!$I$7</f>
        <v>762038913179819</v>
      </c>
      <c r="O12" s="179">
        <f>'KEEI BAU - Industry'!AE$9*'Petrochemicals Split'!$D$39*'Petrochemicals Split'!$I$7</f>
        <v>763880267603782.38</v>
      </c>
      <c r="P12" s="179">
        <f>'KEEI BAU - Industry'!AF$9*'Petrochemicals Split'!$D$39*'Petrochemicals Split'!$I$7</f>
        <v>765721622027745.88</v>
      </c>
      <c r="Q12" s="179">
        <f>'KEEI BAU - Industry'!AG$9*'Petrochemicals Split'!$D$39*'Petrochemicals Split'!$I$7</f>
        <v>767562976451709.75</v>
      </c>
      <c r="R12" s="179">
        <f>'KEEI BAU - Industry'!AH$9*'Petrochemicals Split'!$D$39*'Petrochemicals Split'!$I$7</f>
        <v>768342744493158.25</v>
      </c>
      <c r="S12" s="179">
        <f>'KEEI BAU - Industry'!AI$9*'Petrochemicals Split'!$D$39*'Petrochemicals Split'!$I$7</f>
        <v>769122512534606.5</v>
      </c>
      <c r="T12" s="179">
        <f>'KEEI BAU - Industry'!AJ$9*'Petrochemicals Split'!$D$39*'Petrochemicals Split'!$I$7</f>
        <v>769902280576054.75</v>
      </c>
      <c r="U12" s="179">
        <f>'KEEI BAU - Industry'!AK$9*'Petrochemicals Split'!$D$39*'Petrochemicals Split'!$I$7</f>
        <v>770682048617503.13</v>
      </c>
      <c r="V12" s="179">
        <f>'KEEI BAU - Industry'!AL$9*'Petrochemicals Split'!$D$39*'Petrochemicals Split'!$I$7</f>
        <v>771461816658951.38</v>
      </c>
      <c r="W12" s="179">
        <f>'KEEI BAU - Industry'!AM$9*'Petrochemicals Split'!$D$39*'Petrochemicals Split'!$I$7</f>
        <v>773657033210420.25</v>
      </c>
      <c r="X12" s="179">
        <f>'KEEI BAU - Industry'!AN$9*'Petrochemicals Split'!$D$39*'Petrochemicals Split'!$I$7</f>
        <v>774887171232329.63</v>
      </c>
      <c r="Y12" s="179">
        <f>'KEEI BAU - Industry'!AO$9*'Petrochemicals Split'!$D$39*'Petrochemicals Split'!$I$7</f>
        <v>776117309254239.13</v>
      </c>
      <c r="Z12" s="179">
        <f>'KEEI BAU - Industry'!AP$9*'Petrochemicals Split'!$D$39*'Petrochemicals Split'!$I$7</f>
        <v>777347447276148.5</v>
      </c>
      <c r="AA12" s="179">
        <f>'KEEI BAU - Industry'!AQ$9*'Petrochemicals Split'!$D$39*'Petrochemicals Split'!$I$7</f>
        <v>778577585298057.38</v>
      </c>
      <c r="AB12" s="179">
        <f>'KEEI BAU - Industry'!AR$9*'Petrochemicals Split'!$D$39*'Petrochemicals Split'!$I$7</f>
        <v>779807723319966.88</v>
      </c>
      <c r="AC12" s="179">
        <f>'KEEI BAU - Industry'!AS$9*'Petrochemicals Split'!$D$39*'Petrochemicals Split'!$I$7</f>
        <v>781037861341876.25</v>
      </c>
      <c r="AD12" s="179">
        <f>'KEEI BAU - Industry'!AT$9*'Petrochemicals Split'!$D$39*'Petrochemicals Split'!$I$7</f>
        <v>782267999363785.63</v>
      </c>
      <c r="AE12" s="179">
        <f>'KEEI BAU - Industry'!AU$9*'Petrochemicals Split'!$D$39*'Petrochemicals Split'!$I$7</f>
        <v>783498137385695.13</v>
      </c>
      <c r="AF12" s="179">
        <f>'KEEI BAU - Industry'!AV$9*'Petrochemicals Split'!$D$39*'Petrochemicals Split'!$I$7</f>
        <v>784728275407604.5</v>
      </c>
    </row>
    <row r="13" spans="1:35">
      <c r="A13" s="4" t="s">
        <v>13</v>
      </c>
      <c r="B13" s="179">
        <f>'KEEI BAU - Industry'!R$37*'Others Split'!$D$48*'Others Split'!$M$12</f>
        <v>33774416995.999836</v>
      </c>
      <c r="C13" s="179">
        <f>'KEEI BAU - Industry'!S$37*'Others Split'!$D$48*'Others Split'!$M$12</f>
        <v>34523746768.734428</v>
      </c>
      <c r="D13" s="179">
        <f>'KEEI BAU - Industry'!T$37*'Others Split'!$D$48*'Others Split'!$M$12</f>
        <v>35273076541.469032</v>
      </c>
      <c r="E13" s="179">
        <f>'KEEI BAU - Industry'!U$37*'Others Split'!$D$48*'Others Split'!$M$12</f>
        <v>36022406314.203621</v>
      </c>
      <c r="F13" s="179">
        <f>'KEEI BAU - Industry'!V$37*'Others Split'!$D$48*'Others Split'!$M$12</f>
        <v>36771736086.938217</v>
      </c>
      <c r="G13" s="179">
        <f>'KEEI BAU - Industry'!W$37*'Others Split'!$D$48*'Others Split'!$M$12</f>
        <v>37521065859.672813</v>
      </c>
      <c r="H13" s="179">
        <f>'KEEI BAU - Industry'!X$37*'Others Split'!$D$48*'Others Split'!$M$12</f>
        <v>37867343364.617317</v>
      </c>
      <c r="I13" s="179">
        <f>'KEEI BAU - Industry'!Y$37*'Others Split'!$D$48*'Others Split'!$M$12</f>
        <v>38213620869.561714</v>
      </c>
      <c r="J13" s="179">
        <f>'KEEI BAU - Industry'!Z$37*'Others Split'!$D$48*'Others Split'!$M$12</f>
        <v>38559898374.506111</v>
      </c>
      <c r="K13" s="179">
        <f>'KEEI BAU - Industry'!AA$37*'Others Split'!$D$48*'Others Split'!$M$12</f>
        <v>38906175879.450508</v>
      </c>
      <c r="L13" s="179">
        <f>'KEEI BAU - Industry'!AB$37*'Others Split'!$D$48*'Others Split'!$M$12</f>
        <v>39252453384.394981</v>
      </c>
      <c r="M13" s="179">
        <f>'KEEI BAU - Industry'!AC$37*'Others Split'!$D$48*'Others Split'!$M$12</f>
        <v>39498644035.750725</v>
      </c>
      <c r="N13" s="179">
        <f>'KEEI BAU - Industry'!AD$37*'Others Split'!$D$48*'Others Split'!$M$12</f>
        <v>39744834687.106544</v>
      </c>
      <c r="O13" s="179">
        <f>'KEEI BAU - Industry'!AE$37*'Others Split'!$D$48*'Others Split'!$M$12</f>
        <v>39991025338.462364</v>
      </c>
      <c r="P13" s="179">
        <f>'KEEI BAU - Industry'!AF$37*'Others Split'!$D$48*'Others Split'!$M$12</f>
        <v>40237215989.818184</v>
      </c>
      <c r="Q13" s="179">
        <f>'KEEI BAU - Industry'!AG$37*'Others Split'!$D$48*'Others Split'!$M$12</f>
        <v>40483406641.173981</v>
      </c>
      <c r="R13" s="179">
        <f>'KEEI BAU - Industry'!AH$37*'Others Split'!$D$48*'Others Split'!$M$12</f>
        <v>40676677806.724434</v>
      </c>
      <c r="S13" s="179">
        <f>'KEEI BAU - Industry'!AI$37*'Others Split'!$D$48*'Others Split'!$M$12</f>
        <v>40869948972.274719</v>
      </c>
      <c r="T13" s="179">
        <f>'KEEI BAU - Industry'!AJ$37*'Others Split'!$D$48*'Others Split'!$M$12</f>
        <v>41063220137.825089</v>
      </c>
      <c r="U13" s="179">
        <f>'KEEI BAU - Industry'!AK$37*'Others Split'!$D$48*'Others Split'!$M$12</f>
        <v>41256491303.37545</v>
      </c>
      <c r="V13" s="179">
        <f>'KEEI BAU - Industry'!AL$37*'Others Split'!$D$48*'Others Split'!$M$12</f>
        <v>41449762468.925743</v>
      </c>
      <c r="W13" s="179">
        <f>'KEEI BAU - Industry'!AM$37*'Others Split'!$D$48*'Others Split'!$M$12</f>
        <v>41713592948.883392</v>
      </c>
      <c r="X13" s="179">
        <f>'KEEI BAU - Industry'!AN$37*'Others Split'!$D$48*'Others Split'!$M$12</f>
        <v>41929314805.381508</v>
      </c>
      <c r="Y13" s="179">
        <f>'KEEI BAU - Industry'!AO$37*'Others Split'!$D$48*'Others Split'!$M$12</f>
        <v>42145036661.879692</v>
      </c>
      <c r="Z13" s="179">
        <f>'KEEI BAU - Industry'!AP$37*'Others Split'!$D$48*'Others Split'!$M$12</f>
        <v>42360758518.3778</v>
      </c>
      <c r="AA13" s="179">
        <f>'KEEI BAU - Industry'!AQ$37*'Others Split'!$D$48*'Others Split'!$M$12</f>
        <v>42576480374.875908</v>
      </c>
      <c r="AB13" s="179">
        <f>'KEEI BAU - Industry'!AR$37*'Others Split'!$D$48*'Others Split'!$M$12</f>
        <v>42792202231.374016</v>
      </c>
      <c r="AC13" s="179">
        <f>'KEEI BAU - Industry'!AS$37*'Others Split'!$D$48*'Others Split'!$M$12</f>
        <v>43007924087.8722</v>
      </c>
      <c r="AD13" s="179">
        <f>'KEEI BAU - Industry'!AT$37*'Others Split'!$D$48*'Others Split'!$M$12</f>
        <v>43223645944.370308</v>
      </c>
      <c r="AE13" s="179">
        <f>'KEEI BAU - Industry'!AU$37*'Others Split'!$D$48*'Others Split'!$M$12</f>
        <v>43439367800.868416</v>
      </c>
      <c r="AF13" s="179">
        <f>'KEEI BAU - Industry'!AV$37*'Others Split'!$D$48*'Others Split'!$M$12</f>
        <v>43655089657.3666</v>
      </c>
    </row>
    <row r="14" spans="1:35">
      <c r="A14" s="4" t="s">
        <v>14</v>
      </c>
      <c r="B14" s="179">
        <f>'KEEI BAU - Industry'!R$37*'Others Split'!$D$48*'Others Split'!$M$13</f>
        <v>934425536889.32886</v>
      </c>
      <c r="C14" s="179">
        <f>'KEEI BAU - Industry'!S$37*'Others Split'!$D$48*'Others Split'!$M$13</f>
        <v>955156993934.98596</v>
      </c>
      <c r="D14" s="179">
        <f>'KEEI BAU - Industry'!T$37*'Others Split'!$D$48*'Others Split'!$M$13</f>
        <v>975888450980.64319</v>
      </c>
      <c r="E14" s="179">
        <f>'KEEI BAU - Industry'!U$37*'Others Split'!$D$48*'Others Split'!$M$13</f>
        <v>996619908026.30029</v>
      </c>
      <c r="F14" s="179">
        <f>'KEEI BAU - Industry'!V$37*'Others Split'!$D$48*'Others Split'!$M$13</f>
        <v>1017351365071.9574</v>
      </c>
      <c r="G14" s="179">
        <f>'KEEI BAU - Industry'!W$37*'Others Split'!$D$48*'Others Split'!$M$13</f>
        <v>1038082822117.6146</v>
      </c>
      <c r="H14" s="179">
        <f>'KEEI BAU - Industry'!X$37*'Others Split'!$D$48*'Others Split'!$M$13</f>
        <v>1047663166421.0792</v>
      </c>
      <c r="I14" s="179">
        <f>'KEEI BAU - Industry'!Y$37*'Others Split'!$D$48*'Others Split'!$M$13</f>
        <v>1057243510724.5409</v>
      </c>
      <c r="J14" s="179">
        <f>'KEEI BAU - Industry'!Z$37*'Others Split'!$D$48*'Others Split'!$M$13</f>
        <v>1066823855028.0026</v>
      </c>
      <c r="K14" s="179">
        <f>'KEEI BAU - Industry'!AA$37*'Others Split'!$D$48*'Others Split'!$M$13</f>
        <v>1076404199331.4642</v>
      </c>
      <c r="L14" s="179">
        <f>'KEEI BAU - Industry'!AB$37*'Others Split'!$D$48*'Others Split'!$M$13</f>
        <v>1085984543634.928</v>
      </c>
      <c r="M14" s="179">
        <f>'KEEI BAU - Industry'!AC$37*'Others Split'!$D$48*'Others Split'!$M$13</f>
        <v>1092795818322.4369</v>
      </c>
      <c r="N14" s="179">
        <f>'KEEI BAU - Industry'!AD$37*'Others Split'!$D$48*'Others Split'!$M$13</f>
        <v>1099607093009.9478</v>
      </c>
      <c r="O14" s="179">
        <f>'KEEI BAU - Industry'!AE$37*'Others Split'!$D$48*'Others Split'!$M$13</f>
        <v>1106418367697.4587</v>
      </c>
      <c r="P14" s="179">
        <f>'KEEI BAU - Industry'!AF$37*'Others Split'!$D$48*'Others Split'!$M$13</f>
        <v>1113229642384.9697</v>
      </c>
      <c r="Q14" s="179">
        <f>'KEEI BAU - Industry'!AG$37*'Others Split'!$D$48*'Others Split'!$M$13</f>
        <v>1120040917072.4802</v>
      </c>
      <c r="R14" s="179">
        <f>'KEEI BAU - Industry'!AH$37*'Others Split'!$D$48*'Others Split'!$M$13</f>
        <v>1125388085986.0427</v>
      </c>
      <c r="S14" s="179">
        <f>'KEEI BAU - Industry'!AI$37*'Others Split'!$D$48*'Others Split'!$M$13</f>
        <v>1130735254899.6008</v>
      </c>
      <c r="T14" s="179">
        <f>'KEEI BAU - Industry'!AJ$37*'Others Split'!$D$48*'Others Split'!$M$13</f>
        <v>1136082423813.1609</v>
      </c>
      <c r="U14" s="179">
        <f>'KEEI BAU - Industry'!AK$37*'Others Split'!$D$48*'Others Split'!$M$13</f>
        <v>1141429592726.7207</v>
      </c>
      <c r="V14" s="179">
        <f>'KEEI BAU - Industry'!AL$37*'Others Split'!$D$48*'Others Split'!$M$13</f>
        <v>1146776761640.2791</v>
      </c>
      <c r="W14" s="179">
        <f>'KEEI BAU - Industry'!AM$37*'Others Split'!$D$48*'Others Split'!$M$13</f>
        <v>1154076071585.7739</v>
      </c>
      <c r="X14" s="179">
        <f>'KEEI BAU - Industry'!AN$37*'Others Split'!$D$48*'Others Split'!$M$13</f>
        <v>1160044376282.2217</v>
      </c>
      <c r="Y14" s="179">
        <f>'KEEI BAU - Industry'!AO$37*'Others Split'!$D$48*'Others Split'!$M$13</f>
        <v>1166012680978.6714</v>
      </c>
      <c r="Z14" s="179">
        <f>'KEEI BAU - Industry'!AP$37*'Others Split'!$D$48*'Others Split'!$M$13</f>
        <v>1171980985675.1191</v>
      </c>
      <c r="AA14" s="179">
        <f>'KEEI BAU - Industry'!AQ$37*'Others Split'!$D$48*'Others Split'!$M$13</f>
        <v>1177949290371.5669</v>
      </c>
      <c r="AB14" s="179">
        <f>'KEEI BAU - Industry'!AR$37*'Others Split'!$D$48*'Others Split'!$M$13</f>
        <v>1183917595068.0144</v>
      </c>
      <c r="AC14" s="179">
        <f>'KEEI BAU - Industry'!AS$37*'Others Split'!$D$48*'Others Split'!$M$13</f>
        <v>1189885899764.4644</v>
      </c>
      <c r="AD14" s="179">
        <f>'KEEI BAU - Industry'!AT$37*'Others Split'!$D$48*'Others Split'!$M$13</f>
        <v>1195854204460.9119</v>
      </c>
      <c r="AE14" s="179">
        <f>'KEEI BAU - Industry'!AU$37*'Others Split'!$D$48*'Others Split'!$M$13</f>
        <v>1201822509157.3596</v>
      </c>
      <c r="AF14" s="179">
        <f>'KEEI BAU - Industry'!AV$37*'Others Split'!$D$48*'Others Split'!$M$13</f>
        <v>1207790813853.8093</v>
      </c>
    </row>
    <row r="15" spans="1:35">
      <c r="A15" s="4" t="s">
        <v>15</v>
      </c>
      <c r="B15" s="179">
        <f>'KEEI BAU - Industry'!R23*'Steel Split'!$D$7</f>
        <v>1546087125048.7136</v>
      </c>
      <c r="C15" s="179">
        <f>'KEEI BAU - Industry'!S23*'Steel Split'!$D$7</f>
        <v>1510470067190.8457</v>
      </c>
      <c r="D15" s="179">
        <f>'KEEI BAU - Industry'!T23*'Steel Split'!$D$7</f>
        <v>1474853009332.978</v>
      </c>
      <c r="E15" s="179">
        <f>'KEEI BAU - Industry'!U23*'Steel Split'!$D$7</f>
        <v>1439235951475.1099</v>
      </c>
      <c r="F15" s="179">
        <f>'KEEI BAU - Industry'!V23*'Steel Split'!$D$7</f>
        <v>1403618893617.2422</v>
      </c>
      <c r="G15" s="179">
        <f>'KEEI BAU - Industry'!W23*'Steel Split'!$D$7</f>
        <v>1368001835759.3748</v>
      </c>
      <c r="H15" s="179">
        <f>'KEEI BAU - Industry'!X23*'Steel Split'!$D$7</f>
        <v>1363284588049.8608</v>
      </c>
      <c r="I15" s="179">
        <f>'KEEI BAU - Industry'!Y23*'Steel Split'!$D$7</f>
        <v>1358567340340.3457</v>
      </c>
      <c r="J15" s="179">
        <f>'KEEI BAU - Industry'!Z23*'Steel Split'!$D$7</f>
        <v>1353850092630.8306</v>
      </c>
      <c r="K15" s="179">
        <f>'KEEI BAU - Industry'!AA23*'Steel Split'!$D$7</f>
        <v>1349132844921.3154</v>
      </c>
      <c r="L15" s="179">
        <f>'KEEI BAU - Industry'!AB23*'Steel Split'!$D$7</f>
        <v>1344415597211.7993</v>
      </c>
      <c r="M15" s="179">
        <f>'KEEI BAU - Industry'!AC23*'Steel Split'!$D$7</f>
        <v>1334981101792.769</v>
      </c>
      <c r="N15" s="179">
        <f>'KEEI BAU - Industry'!AD23*'Steel Split'!$D$7</f>
        <v>1325546606373.7388</v>
      </c>
      <c r="O15" s="179">
        <f>'KEEI BAU - Industry'!AE23*'Steel Split'!$D$7</f>
        <v>1316112110954.7087</v>
      </c>
      <c r="P15" s="179">
        <f>'KEEI BAU - Industry'!AF23*'Steel Split'!$D$7</f>
        <v>1306677615535.6785</v>
      </c>
      <c r="Q15" s="179">
        <f>'KEEI BAU - Industry'!AG23*'Steel Split'!$D$7</f>
        <v>1297243120116.6484</v>
      </c>
      <c r="R15" s="179">
        <f>'KEEI BAU - Industry'!AH23*'Steel Split'!$D$7</f>
        <v>1283091376988.103</v>
      </c>
      <c r="S15" s="179">
        <f>'KEEI BAU - Industry'!AI23*'Steel Split'!$D$7</f>
        <v>1268939633859.5579</v>
      </c>
      <c r="T15" s="179">
        <f>'KEEI BAU - Industry'!AJ23*'Steel Split'!$D$7</f>
        <v>1254787890731.0127</v>
      </c>
      <c r="U15" s="179">
        <f>'KEEI BAU - Industry'!AK23*'Steel Split'!$D$7</f>
        <v>1240636147602.4673</v>
      </c>
      <c r="V15" s="179">
        <f>'KEEI BAU - Industry'!AL23*'Steel Split'!$D$7</f>
        <v>1226484404473.9221</v>
      </c>
      <c r="W15" s="179">
        <f>'KEEI BAU - Industry'!AM23*'Steel Split'!$D$7</f>
        <v>1218622324958.0652</v>
      </c>
      <c r="X15" s="179">
        <f>'KEEI BAU - Industry'!AN23*'Steel Split'!$D$7</f>
        <v>1206471838433.5564</v>
      </c>
      <c r="Y15" s="179">
        <f>'KEEI BAU - Industry'!AO23*'Steel Split'!$D$7</f>
        <v>1194321351909.0479</v>
      </c>
      <c r="Z15" s="179">
        <f>'KEEI BAU - Industry'!AP23*'Steel Split'!$D$7</f>
        <v>1182170865384.5391</v>
      </c>
      <c r="AA15" s="179">
        <f>'KEEI BAU - Industry'!AQ23*'Steel Split'!$D$7</f>
        <v>1170020378860.0303</v>
      </c>
      <c r="AB15" s="179">
        <f>'KEEI BAU - Industry'!AR23*'Steel Split'!$D$7</f>
        <v>1157869892335.5217</v>
      </c>
      <c r="AC15" s="179">
        <f>'KEEI BAU - Industry'!AS23*'Steel Split'!$D$7</f>
        <v>1145719405811.0129</v>
      </c>
      <c r="AD15" s="179">
        <f>'KEEI BAU - Industry'!AT23*'Steel Split'!$D$7</f>
        <v>1133568919286.5044</v>
      </c>
      <c r="AE15" s="179">
        <f>'KEEI BAU - Industry'!AU23*'Steel Split'!$D$7</f>
        <v>1121418432761.9956</v>
      </c>
      <c r="AF15" s="179">
        <f>'KEEI BAU - Industry'!AV23*'Steel Split'!$D$7</f>
        <v>1109267946237.4868</v>
      </c>
    </row>
    <row r="16" spans="1:35">
      <c r="A16" s="4" t="s">
        <v>16</v>
      </c>
      <c r="B16" s="20">
        <f>'KEEI BAU - Industry'!R$16*'Non-ferrous Metals Split'!$I$6*'Non-ferrous Metals Split'!$D$46</f>
        <v>939726986000.62805</v>
      </c>
      <c r="C16" s="20">
        <f>'KEEI BAU - Industry'!S$16*'Non-ferrous Metals Split'!$I$6*'Non-ferrous Metals Split'!$D$46</f>
        <v>953167216436.2417</v>
      </c>
      <c r="D16" s="20">
        <f>'KEEI BAU - Industry'!T$16*'Non-ferrous Metals Split'!$I$6*'Non-ferrous Metals Split'!$D$46</f>
        <v>966607446871.85571</v>
      </c>
      <c r="E16" s="20">
        <f>'KEEI BAU - Industry'!U$16*'Non-ferrous Metals Split'!$I$6*'Non-ferrous Metals Split'!$D$46</f>
        <v>980047677307.46936</v>
      </c>
      <c r="F16" s="20">
        <f>'KEEI BAU - Industry'!V$16*'Non-ferrous Metals Split'!$I$6*'Non-ferrous Metals Split'!$D$46</f>
        <v>993487907743.08325</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7987679381005.3379</v>
      </c>
      <c r="C17" s="20">
        <f>'KEEI BAU - Industry'!S$16*'Non-ferrous Metals Split'!$I$7*'Non-ferrous Metals Split'!$D$46</f>
        <v>8101921339708.0547</v>
      </c>
      <c r="D17" s="20">
        <f>'KEEI BAU - Industry'!T$16*'Non-ferrous Metals Split'!$I$7*'Non-ferrous Metals Split'!$D$46</f>
        <v>8216163298410.7715</v>
      </c>
      <c r="E17" s="20">
        <f>'KEEI BAU - Industry'!U$16*'Non-ferrous Metals Split'!$I$7*'Non-ferrous Metals Split'!$D$46</f>
        <v>8330405257113.4883</v>
      </c>
      <c r="F17" s="20">
        <f>'KEEI BAU - Industry'!V$16*'Non-ferrous Metals Split'!$I$7*'Non-ferrous Metals Split'!$D$46</f>
        <v>8444647215816.207</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179">
        <f>'KEEI BAU - Industry'!R$37*'Others Split'!$D$48*'Others Split'!$M$14</f>
        <v>51359841102254.023</v>
      </c>
      <c r="C23" s="179">
        <f>'KEEI BAU - Industry'!S$37*'Others Split'!$D$48*'Others Split'!$M$14</f>
        <v>52499326591090</v>
      </c>
      <c r="D23" s="179">
        <f>'KEEI BAU - Industry'!T$37*'Others Split'!$D$48*'Others Split'!$M$14</f>
        <v>53638812079925.977</v>
      </c>
      <c r="E23" s="179">
        <f>'KEEI BAU - Industry'!U$37*'Others Split'!$D$48*'Others Split'!$M$14</f>
        <v>54778297568761.945</v>
      </c>
      <c r="F23" s="179">
        <f>'KEEI BAU - Industry'!V$37*'Others Split'!$D$48*'Others Split'!$M$14</f>
        <v>55917783057597.922</v>
      </c>
      <c r="G23" s="179">
        <f>'KEEI BAU - Industry'!W$37*'Others Split'!$D$48*'Others Split'!$M$14</f>
        <v>57057268546433.898</v>
      </c>
      <c r="H23" s="179">
        <f>'KEEI BAU - Industry'!X$37*'Others Split'!$D$48*'Others Split'!$M$14</f>
        <v>57583843368831.016</v>
      </c>
      <c r="I23" s="179">
        <f>'KEEI BAU - Industry'!Y$37*'Others Split'!$D$48*'Others Split'!$M$14</f>
        <v>58110418191227.961</v>
      </c>
      <c r="J23" s="179">
        <f>'KEEI BAU - Industry'!Z$37*'Others Split'!$D$48*'Others Split'!$M$14</f>
        <v>58636993013624.922</v>
      </c>
      <c r="K23" s="179">
        <f>'KEEI BAU - Industry'!AA$37*'Others Split'!$D$48*'Others Split'!$M$14</f>
        <v>59163567836021.875</v>
      </c>
      <c r="L23" s="179">
        <f>'KEEI BAU - Industry'!AB$37*'Others Split'!$D$48*'Others Split'!$M$14</f>
        <v>59690142658418.938</v>
      </c>
      <c r="M23" s="179">
        <f>'KEEI BAU - Industry'!AC$37*'Others Split'!$D$48*'Others Split'!$M$14</f>
        <v>60064518113544.898</v>
      </c>
      <c r="N23" s="179">
        <f>'KEEI BAU - Industry'!AD$37*'Others Split'!$D$48*'Others Split'!$M$14</f>
        <v>60438893568670.977</v>
      </c>
      <c r="O23" s="179">
        <f>'KEEI BAU - Industry'!AE$37*'Others Split'!$D$48*'Others Split'!$M$14</f>
        <v>60813269023797.047</v>
      </c>
      <c r="P23" s="179">
        <f>'KEEI BAU - Industry'!AF$37*'Others Split'!$D$48*'Others Split'!$M$14</f>
        <v>61187644478923.117</v>
      </c>
      <c r="Q23" s="179">
        <f>'KEEI BAU - Industry'!AG$37*'Others Split'!$D$48*'Others Split'!$M$14</f>
        <v>61562019934049.172</v>
      </c>
      <c r="R23" s="179">
        <f>'KEEI BAU - Industry'!AH$37*'Others Split'!$D$48*'Others Split'!$M$14</f>
        <v>61855922160503.422</v>
      </c>
      <c r="S23" s="179">
        <f>'KEEI BAU - Industry'!AI$37*'Others Split'!$D$48*'Others Split'!$M$14</f>
        <v>62149824386957.422</v>
      </c>
      <c r="T23" s="179">
        <f>'KEEI BAU - Industry'!AJ$37*'Others Split'!$D$48*'Others Split'!$M$14</f>
        <v>62443726613411.539</v>
      </c>
      <c r="U23" s="179">
        <f>'KEEI BAU - Industry'!AK$37*'Others Split'!$D$48*'Others Split'!$M$14</f>
        <v>62737628839865.648</v>
      </c>
      <c r="V23" s="179">
        <f>'KEEI BAU - Industry'!AL$37*'Others Split'!$D$48*'Others Split'!$M$14</f>
        <v>63031531066319.664</v>
      </c>
      <c r="W23" s="179">
        <f>'KEEI BAU - Industry'!AM$37*'Others Split'!$D$48*'Others Split'!$M$14</f>
        <v>63432730931003.086</v>
      </c>
      <c r="X23" s="179">
        <f>'KEEI BAU - Industry'!AN$37*'Others Split'!$D$48*'Others Split'!$M$14</f>
        <v>63760773315075.57</v>
      </c>
      <c r="Y23" s="179">
        <f>'KEEI BAU - Industry'!AO$37*'Others Split'!$D$48*'Others Split'!$M$14</f>
        <v>64088815699148.172</v>
      </c>
      <c r="Z23" s="179">
        <f>'KEEI BAU - Industry'!AP$37*'Others Split'!$D$48*'Others Split'!$M$14</f>
        <v>64416858083220.656</v>
      </c>
      <c r="AA23" s="179">
        <f>'KEEI BAU - Industry'!AQ$37*'Others Split'!$D$48*'Others Split'!$M$14</f>
        <v>64744900467293.141</v>
      </c>
      <c r="AB23" s="179">
        <f>'KEEI BAU - Industry'!AR$37*'Others Split'!$D$48*'Others Split'!$M$14</f>
        <v>65072942851365.633</v>
      </c>
      <c r="AC23" s="179">
        <f>'KEEI BAU - Industry'!AS$37*'Others Split'!$D$48*'Others Split'!$M$14</f>
        <v>65400985235438.234</v>
      </c>
      <c r="AD23" s="179">
        <f>'KEEI BAU - Industry'!AT$37*'Others Split'!$D$48*'Others Split'!$M$14</f>
        <v>65729027619510.719</v>
      </c>
      <c r="AE23" s="179">
        <f>'KEEI BAU - Industry'!AU$37*'Others Split'!$D$48*'Others Split'!$M$14</f>
        <v>66057070003583.203</v>
      </c>
      <c r="AF23" s="179">
        <f>'KEEI BAU - Industry'!AV$37*'Others Split'!$D$48*'Others Split'!$M$14</f>
        <v>66385112387655.805</v>
      </c>
    </row>
    <row r="24" spans="1:33">
      <c r="A24" s="4" t="s">
        <v>24</v>
      </c>
      <c r="B24" s="179">
        <f>-SUM('2019 KESIS Energy Balance'!W44:Y44)*'KEEI BAU - Industry'!$A$44/1000*(1+'KEEI BAU - Gas Supply'!R9)</f>
        <v>3671636195575.3076</v>
      </c>
      <c r="C24" s="179">
        <f>B24*(1+'KEEI BAU - Gas Supply'!S9)</f>
        <v>3697634873412.3154</v>
      </c>
      <c r="D24" s="179">
        <f>C24*(1+'KEEI BAU - Gas Supply'!T9)</f>
        <v>3723633551249.3232</v>
      </c>
      <c r="E24" s="179">
        <f>D24*(1+'KEEI BAU - Gas Supply'!U9)</f>
        <v>3749632229086.3306</v>
      </c>
      <c r="F24" s="179">
        <f>E24*(1+'KEEI BAU - Gas Supply'!V9)</f>
        <v>3775630906923.3379</v>
      </c>
      <c r="G24" s="179">
        <f>F24*(1+'KEEI BAU - Gas Supply'!W9)</f>
        <v>3801629584760.3457</v>
      </c>
      <c r="H24" s="179">
        <f>G24*(1+'KEEI BAU - Gas Supply'!X9)</f>
        <v>3870742736677.0508</v>
      </c>
      <c r="I24" s="179">
        <f>H24*(1+'KEEI BAU - Gas Supply'!Y9)</f>
        <v>3939855888593.7627</v>
      </c>
      <c r="J24" s="179">
        <f>I24*(1+'KEEI BAU - Gas Supply'!Z9)</f>
        <v>4008969040510.4741</v>
      </c>
      <c r="K24" s="179">
        <f>J24*(1+'KEEI BAU - Gas Supply'!AA9)</f>
        <v>4078082192427.186</v>
      </c>
      <c r="L24" s="179">
        <f>K24*(1+'KEEI BAU - Gas Supply'!AB9)</f>
        <v>4147195344343.9048</v>
      </c>
      <c r="M24" s="179">
        <f>L24*(1+'KEEI BAU - Gas Supply'!AC9)</f>
        <v>4197405290916.6191</v>
      </c>
      <c r="N24" s="179">
        <f>M24*(1+'KEEI BAU - Gas Supply'!AD9)</f>
        <v>4247615237489.3398</v>
      </c>
      <c r="O24" s="179">
        <f>N24*(1+'KEEI BAU - Gas Supply'!AE9)</f>
        <v>4297825184062.0605</v>
      </c>
      <c r="P24" s="179">
        <f>O24*(1+'KEEI BAU - Gas Supply'!AF9)</f>
        <v>4348035130634.7813</v>
      </c>
      <c r="Q24" s="179">
        <f>P24*(1+'KEEI BAU - Gas Supply'!AG9)</f>
        <v>4398245077207.5088</v>
      </c>
      <c r="R24" s="179">
        <f>Q24*(1+'KEEI BAU - Gas Supply'!AH9)</f>
        <v>4481860616605.1797</v>
      </c>
      <c r="S24" s="179">
        <f>R24*(1+'KEEI BAU - Gas Supply'!AI9)</f>
        <v>4565476156002.8438</v>
      </c>
      <c r="T24" s="179">
        <f>S24*(1+'KEEI BAU - Gas Supply'!AJ9)</f>
        <v>4649091695400.5078</v>
      </c>
      <c r="U24" s="179">
        <f>T24*(1+'KEEI BAU - Gas Supply'!AK9)</f>
        <v>4732707234798.1719</v>
      </c>
      <c r="V24" s="179">
        <f>U24*(1+'KEEI BAU - Gas Supply'!AL9)</f>
        <v>4816322774195.8457</v>
      </c>
      <c r="W24" s="179">
        <f>V24*(1+'KEEI BAU - Gas Supply'!AM9)</f>
        <v>4855397523160.2334</v>
      </c>
      <c r="X24" s="179">
        <f>W24*(1+'KEEI BAU - Gas Supply'!AN9)</f>
        <v>4924840992874.6035</v>
      </c>
      <c r="Y24" s="179">
        <f>X24*(1+'KEEI BAU - Gas Supply'!AO9)</f>
        <v>4994284462588.9463</v>
      </c>
      <c r="Z24" s="179">
        <f>Y24*(1+'KEEI BAU - Gas Supply'!AP9)</f>
        <v>5063727932303.3164</v>
      </c>
      <c r="AA24" s="179">
        <f>Z24*(1+'KEEI BAU - Gas Supply'!AQ9)</f>
        <v>5133171402017.6592</v>
      </c>
      <c r="AB24" s="179">
        <f>AA24*(1+'KEEI BAU - Gas Supply'!AR9)</f>
        <v>5202614871732.0293</v>
      </c>
      <c r="AC24" s="179">
        <f>AB24*(1+'KEEI BAU - Gas Supply'!AS9)</f>
        <v>5272058341446.373</v>
      </c>
      <c r="AD24" s="179">
        <f>AC24*(1+'KEEI BAU - Gas Supply'!AT9)</f>
        <v>5341501811160.7432</v>
      </c>
      <c r="AE24" s="179">
        <f>AD24*(1+'KEEI BAU - Gas Supply'!AU9)</f>
        <v>5410945280875.1143</v>
      </c>
      <c r="AF24" s="179">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Split'!$D$48*'Others Split'!$M$15</f>
        <v>1202594949194.353</v>
      </c>
      <c r="C26" s="179">
        <f>'KEEI BAU - Industry'!S$37*'Others Split'!$D$48*'Others Split'!$M$15</f>
        <v>1229276096646.2336</v>
      </c>
      <c r="D26" s="179">
        <f>'KEEI BAU - Industry'!T$37*'Others Split'!$D$48*'Others Split'!$M$15</f>
        <v>1255957244098.1145</v>
      </c>
      <c r="E26" s="179">
        <f>'KEEI BAU - Industry'!U$37*'Others Split'!$D$48*'Others Split'!$M$15</f>
        <v>1282638391549.9951</v>
      </c>
      <c r="F26" s="179">
        <f>'KEEI BAU - Industry'!V$37*'Others Split'!$D$48*'Others Split'!$M$15</f>
        <v>1309319539001.8757</v>
      </c>
      <c r="G26" s="179">
        <f>'KEEI BAU - Industry'!W$37*'Others Split'!$D$48*'Others Split'!$M$15</f>
        <v>1336000686453.7563</v>
      </c>
      <c r="H26" s="179">
        <f>'KEEI BAU - Industry'!X$37*'Others Split'!$D$48*'Others Split'!$M$15</f>
        <v>1348330479696.8257</v>
      </c>
      <c r="I26" s="179">
        <f>'KEEI BAU - Industry'!Y$37*'Others Split'!$D$48*'Others Split'!$M$15</f>
        <v>1360660272939.8911</v>
      </c>
      <c r="J26" s="179">
        <f>'KEEI BAU - Industry'!Z$37*'Others Split'!$D$48*'Others Split'!$M$15</f>
        <v>1372990066182.9568</v>
      </c>
      <c r="K26" s="179">
        <f>'KEEI BAU - Industry'!AA$37*'Others Split'!$D$48*'Others Split'!$M$15</f>
        <v>1385319859426.0222</v>
      </c>
      <c r="L26" s="179">
        <f>'KEEI BAU - Industry'!AB$37*'Others Split'!$D$48*'Others Split'!$M$15</f>
        <v>1397649652669.0903</v>
      </c>
      <c r="M26" s="179">
        <f>'KEEI BAU - Industry'!AC$37*'Others Split'!$D$48*'Others Split'!$M$15</f>
        <v>1406415685074.4565</v>
      </c>
      <c r="N26" s="179">
        <f>'KEEI BAU - Industry'!AD$37*'Others Split'!$D$48*'Others Split'!$M$15</f>
        <v>1415181717479.8254</v>
      </c>
      <c r="O26" s="179">
        <f>'KEEI BAU - Industry'!AE$37*'Others Split'!$D$48*'Others Split'!$M$15</f>
        <v>1423947749885.1941</v>
      </c>
      <c r="P26" s="179">
        <f>'KEEI BAU - Industry'!AF$37*'Others Split'!$D$48*'Others Split'!$M$15</f>
        <v>1432713782290.563</v>
      </c>
      <c r="Q26" s="179">
        <f>'KEEI BAU - Industry'!AG$37*'Others Split'!$D$48*'Others Split'!$M$15</f>
        <v>1441479814695.9314</v>
      </c>
      <c r="R26" s="179">
        <f>'KEEI BAU - Industry'!AH$37*'Others Split'!$D$48*'Others Split'!$M$15</f>
        <v>1448361559761.8315</v>
      </c>
      <c r="S26" s="179">
        <f>'KEEI BAU - Industry'!AI$37*'Others Split'!$D$48*'Others Split'!$M$15</f>
        <v>1455243304827.7261</v>
      </c>
      <c r="T26" s="179">
        <f>'KEEI BAU - Industry'!AJ$37*'Others Split'!$D$48*'Others Split'!$M$15</f>
        <v>1462125049893.623</v>
      </c>
      <c r="U26" s="179">
        <f>'KEEI BAU - Industry'!AK$37*'Others Split'!$D$48*'Others Split'!$M$15</f>
        <v>1469006794959.52</v>
      </c>
      <c r="V26" s="179">
        <f>'KEEI BAU - Industry'!AL$37*'Others Split'!$D$48*'Others Split'!$M$15</f>
        <v>1475888540025.4148</v>
      </c>
      <c r="W26" s="179">
        <f>'KEEI BAU - Industry'!AM$37*'Others Split'!$D$48*'Others Split'!$M$15</f>
        <v>1485282668210.6082</v>
      </c>
      <c r="X26" s="179">
        <f>'KEEI BAU - Industry'!AN$37*'Others Split'!$D$48*'Others Split'!$M$15</f>
        <v>1492963807905.3711</v>
      </c>
      <c r="Y26" s="179">
        <f>'KEEI BAU - Industry'!AO$37*'Others Split'!$D$48*'Others Split'!$M$15</f>
        <v>1500644947600.137</v>
      </c>
      <c r="Z26" s="179">
        <f>'KEEI BAU - Industry'!AP$37*'Others Split'!$D$48*'Others Split'!$M$15</f>
        <v>1508326087294.8999</v>
      </c>
      <c r="AA26" s="179">
        <f>'KEEI BAU - Industry'!AQ$37*'Others Split'!$D$48*'Others Split'!$M$15</f>
        <v>1516007226989.6631</v>
      </c>
      <c r="AB26" s="179">
        <f>'KEEI BAU - Industry'!AR$37*'Others Split'!$D$48*'Others Split'!$M$15</f>
        <v>1523688366684.426</v>
      </c>
      <c r="AC26" s="179">
        <f>'KEEI BAU - Industry'!AS$37*'Others Split'!$D$48*'Others Split'!$M$15</f>
        <v>1531369506379.1919</v>
      </c>
      <c r="AD26" s="179">
        <f>'KEEI BAU - Industry'!AT$37*'Others Split'!$D$48*'Others Split'!$M$15</f>
        <v>1539050646073.9548</v>
      </c>
      <c r="AE26" s="179">
        <f>'KEEI BAU - Industry'!AU$37*'Others Split'!$D$48*'Others Split'!$M$15</f>
        <v>1546731785768.718</v>
      </c>
      <c r="AF26" s="179">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5"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08203125" defaultRowHeight="17"/>
  <cols>
    <col min="1" max="1" width="39.9140625" style="4" customWidth="1"/>
    <col min="2"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Sanghyun Hong</cp:lastModifiedBy>
  <dcterms:created xsi:type="dcterms:W3CDTF">2014-03-20T21:01:41Z</dcterms:created>
  <dcterms:modified xsi:type="dcterms:W3CDTF">2022-01-11T05:21:08Z</dcterms:modified>
</cp:coreProperties>
</file>