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ocuments\eps-texas\InputData\elec\BCpUC\"/>
    </mc:Choice>
  </mc:AlternateContent>
  <bookViews>
    <workbookView xWindow="0" yWindow="0" windowWidth="28800" windowHeight="12645"/>
  </bookViews>
  <sheets>
    <sheet name="About" sheetId="2" r:id="rId1"/>
    <sheet name="Calculations" sheetId="1" r:id="rId2"/>
    <sheet name="Texas Calculations" sheetId="5" r:id="rId3"/>
    <sheet name="Texas Notes" sheetId="4" r:id="rId4"/>
    <sheet name="Balance of System Calculations" sheetId="6" r:id="rId5"/>
    <sheet name="BCpUC" sheetId="3" r:id="rId6"/>
    <sheet name="BBoSCpUC" sheetId="7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4" l="1"/>
  <c r="F16" i="4" s="1"/>
  <c r="C16" i="4"/>
  <c r="F15" i="4"/>
  <c r="E15" i="4"/>
  <c r="C15" i="4"/>
  <c r="E14" i="4"/>
  <c r="F14" i="4" s="1"/>
  <c r="C14" i="4"/>
  <c r="F13" i="4"/>
  <c r="E13" i="4"/>
  <c r="C13" i="4"/>
  <c r="E12" i="4"/>
  <c r="F12" i="4" s="1"/>
  <c r="C12" i="4"/>
  <c r="E11" i="4"/>
  <c r="F11" i="4" s="1"/>
  <c r="C11" i="4"/>
  <c r="E10" i="4"/>
  <c r="F10" i="4" s="1"/>
  <c r="C10" i="4"/>
  <c r="E9" i="4"/>
  <c r="F9" i="4" s="1"/>
  <c r="C9" i="4"/>
  <c r="D26" i="6" l="1"/>
  <c r="D23" i="6"/>
  <c r="D22" i="6"/>
  <c r="D24" i="6" s="1"/>
  <c r="D25" i="6" s="1"/>
  <c r="B2" i="7" l="1"/>
  <c r="AH2" i="7" s="1"/>
  <c r="Z2" i="7"/>
  <c r="R2" i="7"/>
  <c r="J2" i="7"/>
  <c r="O2" i="7"/>
  <c r="AD2" i="7"/>
  <c r="N2" i="7"/>
  <c r="AG2" i="7"/>
  <c r="Y2" i="7"/>
  <c r="Q2" i="7"/>
  <c r="I2" i="7"/>
  <c r="X2" i="7"/>
  <c r="H2" i="7"/>
  <c r="W2" i="7"/>
  <c r="S2" i="7"/>
  <c r="C2" i="7"/>
  <c r="AF2" i="7"/>
  <c r="P2" i="7"/>
  <c r="G2" i="7"/>
  <c r="V2" i="7"/>
  <c r="F2" i="7"/>
  <c r="AC2" i="7"/>
  <c r="U2" i="7"/>
  <c r="M2" i="7"/>
  <c r="E2" i="7"/>
  <c r="AB2" i="7"/>
  <c r="T2" i="7"/>
  <c r="L2" i="7"/>
  <c r="D2" i="7"/>
  <c r="AA2" i="7"/>
  <c r="K2" i="7"/>
  <c r="AE2" i="7"/>
  <c r="B38" i="3" l="1"/>
  <c r="B33" i="3"/>
  <c r="B28" i="3"/>
  <c r="B23" i="3"/>
  <c r="B18" i="3"/>
  <c r="B13" i="3"/>
  <c r="B8" i="3"/>
  <c r="B6" i="3"/>
  <c r="B36" i="3" l="1"/>
  <c r="B31" i="3"/>
  <c r="B27" i="3"/>
  <c r="B16" i="3"/>
  <c r="B11" i="3"/>
  <c r="B34" i="3" l="1"/>
  <c r="B21" i="3"/>
  <c r="B29" i="3"/>
  <c r="B12" i="3"/>
  <c r="B26" i="3"/>
  <c r="B9" i="3"/>
  <c r="B32" i="3"/>
  <c r="B17" i="3"/>
  <c r="B22" i="3"/>
  <c r="B37" i="3"/>
  <c r="B19" i="3"/>
  <c r="B24" i="3"/>
  <c r="B7" i="3"/>
  <c r="B5" i="3" s="1"/>
  <c r="B4" i="3" s="1"/>
  <c r="B3" i="3" s="1"/>
  <c r="B2" i="3" s="1"/>
  <c r="B10" i="3"/>
  <c r="B15" i="3"/>
  <c r="B20" i="3"/>
  <c r="B25" i="3"/>
  <c r="B30" i="3"/>
  <c r="B35" i="3"/>
  <c r="B14" i="3"/>
  <c r="B15" i="5"/>
  <c r="B16" i="5"/>
  <c r="B17" i="5"/>
  <c r="B18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19" i="5"/>
  <c r="C41" i="5"/>
  <c r="D41" i="5" s="1"/>
  <c r="E41" i="5" s="1"/>
  <c r="C51" i="5"/>
  <c r="C46" i="5"/>
  <c r="D46" i="5" s="1"/>
  <c r="C36" i="5"/>
  <c r="D36" i="5" s="1"/>
  <c r="E36" i="5" s="1"/>
  <c r="C31" i="5"/>
  <c r="D31" i="5" s="1"/>
  <c r="C26" i="5"/>
  <c r="D26" i="5" s="1"/>
  <c r="E26" i="5" s="1"/>
  <c r="C21" i="5"/>
  <c r="D21" i="5" s="1"/>
  <c r="C19" i="5"/>
  <c r="D19" i="5" s="1"/>
  <c r="E19" i="5" s="1"/>
  <c r="E31" i="5" l="1"/>
  <c r="E46" i="5"/>
  <c r="E21" i="5"/>
  <c r="C49" i="5"/>
  <c r="D49" i="5" s="1"/>
  <c r="E49" i="5" s="1"/>
  <c r="D51" i="5"/>
  <c r="E51" i="5" s="1"/>
  <c r="C38" i="5"/>
  <c r="D38" i="5" s="1"/>
  <c r="E38" i="5" s="1"/>
  <c r="C25" i="5"/>
  <c r="D25" i="5" s="1"/>
  <c r="E25" i="5" s="1"/>
  <c r="C48" i="5"/>
  <c r="D48" i="5" s="1"/>
  <c r="E48" i="5" s="1"/>
  <c r="C50" i="5"/>
  <c r="D50" i="5" s="1"/>
  <c r="E50" i="5" s="1"/>
  <c r="C30" i="5"/>
  <c r="D30" i="5" s="1"/>
  <c r="E30" i="5" s="1"/>
  <c r="C35" i="5"/>
  <c r="D35" i="5" s="1"/>
  <c r="E35" i="5" s="1"/>
  <c r="C40" i="5"/>
  <c r="D40" i="5" s="1"/>
  <c r="E40" i="5" s="1"/>
  <c r="C45" i="5"/>
  <c r="D45" i="5" s="1"/>
  <c r="E45" i="5" s="1"/>
  <c r="C22" i="5"/>
  <c r="D22" i="5" s="1"/>
  <c r="E22" i="5" s="1"/>
  <c r="C27" i="5"/>
  <c r="D27" i="5" s="1"/>
  <c r="E27" i="5" s="1"/>
  <c r="C32" i="5"/>
  <c r="D32" i="5" s="1"/>
  <c r="E32" i="5" s="1"/>
  <c r="C37" i="5"/>
  <c r="D37" i="5" s="1"/>
  <c r="E37" i="5" s="1"/>
  <c r="C42" i="5"/>
  <c r="D42" i="5" s="1"/>
  <c r="E42" i="5" s="1"/>
  <c r="C47" i="5"/>
  <c r="D47" i="5" s="1"/>
  <c r="E47" i="5" s="1"/>
  <c r="C23" i="5"/>
  <c r="D23" i="5" s="1"/>
  <c r="E23" i="5" s="1"/>
  <c r="E18" i="5" s="1"/>
  <c r="C28" i="5"/>
  <c r="D28" i="5" s="1"/>
  <c r="E28" i="5" s="1"/>
  <c r="C33" i="5"/>
  <c r="D33" i="5" s="1"/>
  <c r="E33" i="5" s="1"/>
  <c r="C43" i="5"/>
  <c r="D43" i="5" s="1"/>
  <c r="E43" i="5" s="1"/>
  <c r="C24" i="5"/>
  <c r="D24" i="5" s="1"/>
  <c r="E24" i="5" s="1"/>
  <c r="C29" i="5"/>
  <c r="D29" i="5" s="1"/>
  <c r="E29" i="5" s="1"/>
  <c r="C34" i="5"/>
  <c r="D34" i="5" s="1"/>
  <c r="E34" i="5" s="1"/>
  <c r="C39" i="5"/>
  <c r="D39" i="5" s="1"/>
  <c r="E39" i="5" s="1"/>
  <c r="C44" i="5"/>
  <c r="D44" i="5" s="1"/>
  <c r="E44" i="5" s="1"/>
  <c r="C20" i="5"/>
  <c r="D20" i="5" s="1"/>
  <c r="E20" i="5" s="1"/>
  <c r="E17" i="5" l="1"/>
  <c r="B116" i="1"/>
  <c r="B114" i="1"/>
  <c r="B112" i="1"/>
  <c r="B111" i="1"/>
  <c r="B110" i="1"/>
  <c r="B108" i="1"/>
  <c r="B106" i="1"/>
  <c r="B104" i="1"/>
  <c r="B102" i="1"/>
  <c r="B100" i="1"/>
  <c r="B98" i="1"/>
  <c r="B96" i="1"/>
  <c r="B94" i="1"/>
  <c r="B92" i="1"/>
  <c r="B90" i="1"/>
  <c r="B88" i="1"/>
  <c r="B86" i="1"/>
  <c r="B84" i="1"/>
  <c r="A33" i="3"/>
  <c r="A34" i="3"/>
  <c r="A35" i="3"/>
  <c r="A36" i="3"/>
  <c r="A37" i="3"/>
  <c r="A3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B51" i="1"/>
  <c r="B115" i="1" s="1"/>
  <c r="B49" i="1"/>
  <c r="B113" i="1" s="1"/>
  <c r="B47" i="1"/>
  <c r="B45" i="1"/>
  <c r="B109" i="1" s="1"/>
  <c r="B43" i="1"/>
  <c r="B107" i="1" s="1"/>
  <c r="B41" i="1"/>
  <c r="B105" i="1" s="1"/>
  <c r="B39" i="1"/>
  <c r="B103" i="1" s="1"/>
  <c r="B37" i="1"/>
  <c r="B101" i="1" s="1"/>
  <c r="B35" i="1"/>
  <c r="B99" i="1" s="1"/>
  <c r="B33" i="1"/>
  <c r="B97" i="1" s="1"/>
  <c r="E16" i="5" l="1"/>
  <c r="C61" i="1"/>
  <c r="C62" i="1"/>
  <c r="C63" i="1"/>
  <c r="C64" i="1"/>
  <c r="C60" i="1"/>
  <c r="E15" i="5" l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B12" i="1" l="1"/>
  <c r="B76" i="1" s="1"/>
  <c r="B13" i="1"/>
  <c r="B77" i="1" s="1"/>
  <c r="B14" i="1"/>
  <c r="B78" i="1" s="1"/>
  <c r="B31" i="1"/>
  <c r="B95" i="1" s="1"/>
  <c r="B29" i="1"/>
  <c r="B93" i="1" s="1"/>
  <c r="B27" i="1"/>
  <c r="B91" i="1" s="1"/>
  <c r="B25" i="1"/>
  <c r="B89" i="1" s="1"/>
  <c r="B23" i="1"/>
  <c r="B87" i="1" s="1"/>
  <c r="B21" i="1"/>
  <c r="B85" i="1" s="1"/>
  <c r="B16" i="1"/>
  <c r="B80" i="1" s="1"/>
  <c r="B17" i="1"/>
  <c r="B81" i="1" s="1"/>
  <c r="B18" i="1"/>
  <c r="B82" i="1" s="1"/>
  <c r="B19" i="1"/>
  <c r="B83" i="1" s="1"/>
  <c r="B15" i="1"/>
  <c r="B79" i="1" s="1"/>
  <c r="C65" i="1"/>
  <c r="C76" i="1" s="1"/>
  <c r="C112" i="1" l="1"/>
  <c r="F47" i="5" s="1"/>
  <c r="G47" i="5" s="1"/>
  <c r="C114" i="1"/>
  <c r="F49" i="5" s="1"/>
  <c r="G49" i="5" s="1"/>
  <c r="C116" i="1"/>
  <c r="F51" i="5" s="1"/>
  <c r="G51" i="5" s="1"/>
  <c r="C108" i="1"/>
  <c r="F43" i="5" s="1"/>
  <c r="G43" i="5" s="1"/>
  <c r="C100" i="1"/>
  <c r="F35" i="5" s="1"/>
  <c r="G35" i="5" s="1"/>
  <c r="C110" i="1"/>
  <c r="F45" i="5" s="1"/>
  <c r="G45" i="5" s="1"/>
  <c r="C104" i="1"/>
  <c r="F39" i="5" s="1"/>
  <c r="G39" i="5" s="1"/>
  <c r="C106" i="1"/>
  <c r="F41" i="5" s="1"/>
  <c r="G41" i="5" s="1"/>
  <c r="C97" i="1"/>
  <c r="F32" i="5" s="1"/>
  <c r="G32" i="5" s="1"/>
  <c r="C102" i="1"/>
  <c r="F37" i="5" s="1"/>
  <c r="G37" i="5" s="1"/>
  <c r="C115" i="1"/>
  <c r="F50" i="5" s="1"/>
  <c r="G50" i="5" s="1"/>
  <c r="C98" i="1"/>
  <c r="F33" i="5" s="1"/>
  <c r="G33" i="5" s="1"/>
  <c r="C111" i="1"/>
  <c r="F46" i="5" s="1"/>
  <c r="G46" i="5" s="1"/>
  <c r="C113" i="1"/>
  <c r="F48" i="5" s="1"/>
  <c r="G48" i="5" s="1"/>
  <c r="C107" i="1"/>
  <c r="F42" i="5" s="1"/>
  <c r="G42" i="5" s="1"/>
  <c r="C109" i="1"/>
  <c r="F44" i="5" s="1"/>
  <c r="G44" i="5" s="1"/>
  <c r="C103" i="1"/>
  <c r="F38" i="5" s="1"/>
  <c r="G38" i="5" s="1"/>
  <c r="C105" i="1"/>
  <c r="F40" i="5" s="1"/>
  <c r="G40" i="5" s="1"/>
  <c r="C101" i="1"/>
  <c r="F36" i="5" s="1"/>
  <c r="G36" i="5" s="1"/>
  <c r="C99" i="1"/>
  <c r="F34" i="5" s="1"/>
  <c r="G34" i="5" s="1"/>
  <c r="C78" i="1"/>
  <c r="C94" i="1"/>
  <c r="F29" i="5" s="1"/>
  <c r="G29" i="5" s="1"/>
  <c r="C86" i="1"/>
  <c r="F21" i="5" s="1"/>
  <c r="G21" i="5" s="1"/>
  <c r="C84" i="1"/>
  <c r="F19" i="5" s="1"/>
  <c r="G19" i="5" s="1"/>
  <c r="C88" i="1"/>
  <c r="F23" i="5" s="1"/>
  <c r="G23" i="5" s="1"/>
  <c r="C92" i="1"/>
  <c r="F27" i="5" s="1"/>
  <c r="G27" i="5" s="1"/>
  <c r="C96" i="1"/>
  <c r="F31" i="5" s="1"/>
  <c r="G31" i="5" s="1"/>
  <c r="C81" i="1"/>
  <c r="F16" i="5" s="1"/>
  <c r="G16" i="5" s="1"/>
  <c r="C89" i="1"/>
  <c r="F24" i="5" s="1"/>
  <c r="G24" i="5" s="1"/>
  <c r="C77" i="1"/>
  <c r="C82" i="1"/>
  <c r="F17" i="5" s="1"/>
  <c r="G17" i="5" s="1"/>
  <c r="C90" i="1"/>
  <c r="F25" i="5" s="1"/>
  <c r="G25" i="5" s="1"/>
  <c r="C87" i="1"/>
  <c r="F22" i="5" s="1"/>
  <c r="G22" i="5" s="1"/>
  <c r="C80" i="1"/>
  <c r="F15" i="5" s="1"/>
  <c r="G15" i="5" s="1"/>
  <c r="C95" i="1"/>
  <c r="F30" i="5" s="1"/>
  <c r="G30" i="5" s="1"/>
  <c r="C85" i="1"/>
  <c r="F20" i="5" s="1"/>
  <c r="G20" i="5" s="1"/>
  <c r="C83" i="1"/>
  <c r="F18" i="5" s="1"/>
  <c r="G18" i="5" s="1"/>
  <c r="C79" i="1"/>
  <c r="C93" i="1"/>
  <c r="F28" i="5" s="1"/>
  <c r="G28" i="5" s="1"/>
  <c r="C91" i="1"/>
  <c r="F26" i="5" s="1"/>
  <c r="G26" i="5" s="1"/>
</calcChain>
</file>

<file path=xl/sharedStrings.xml><?xml version="1.0" encoding="utf-8"?>
<sst xmlns="http://schemas.openxmlformats.org/spreadsheetml/2006/main" count="141" uniqueCount="112">
  <si>
    <t>$/kW</t>
  </si>
  <si>
    <t>Year</t>
  </si>
  <si>
    <t>$2012/kW</t>
  </si>
  <si>
    <t>$/kWh</t>
  </si>
  <si>
    <t>Frequency Regulation and Renewables Integration Grid Scale Lithium Ion Battery Storage Capacity Cost</t>
  </si>
  <si>
    <t>Cost Curve for Grid-Scale Lithium Ion Storage</t>
  </si>
  <si>
    <t>Li-Ion Battery Capital Cost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</si>
  <si>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</si>
  <si>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</si>
  <si>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</si>
  <si>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</si>
  <si>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</si>
  <si>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</si>
  <si>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</si>
  <si>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</si>
  <si>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</si>
  <si>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</si>
  <si>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</si>
  <si>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First, we start with projections from RMI of battery costs.  (RMI has themselves averaged projections</t>
  </si>
  <si>
    <t>from the EIA, Bloomberg New Energy Finance, and Navigant Consulting to obtain their estimates.)</t>
  </si>
  <si>
    <t>These estimates are reported in dollars per kWh, but we need it per unit capacity (per kW).</t>
  </si>
  <si>
    <t>We ignore results from 2014 and 2016 (because they are influenced by tax credits, whose effects we</t>
  </si>
  <si>
    <t>Next, we need to convert the values from $/kWh to $/kW.  We use a Sandia National Laboratory report</t>
  </si>
  <si>
    <t>that provides some dollar values for batteries in 2010 in $/kW.  We average their data points, then</t>
  </si>
  <si>
    <t>correct for inflation to obtain the costs in 2012 dollars.</t>
  </si>
  <si>
    <t>Finally, we apply the difference in 2010 between batteries per kWh and per kW to obtain per kW values</t>
  </si>
  <si>
    <t>for all years.  This involves an assumption that the difference is constant, which might not be true, if future</t>
  </si>
  <si>
    <t>batteries deliver more services (more kWh) for the same capacity (same kW).  However, batteries</t>
  </si>
  <si>
    <t>already can be used a large percentage of the time, so there may be limited scope for further improvements</t>
  </si>
  <si>
    <t>AVERAGE</t>
  </si>
  <si>
    <t>Li-Ion Battery Capital Cost ($/kWh)</t>
  </si>
  <si>
    <t>Battery Cost ($/MW)</t>
  </si>
  <si>
    <t>Note:</t>
  </si>
  <si>
    <t>See "cpi.xlsx" in the InputData folder for source information.</t>
  </si>
  <si>
    <t>BCpUC Battery Cost per Unit Capacity</t>
  </si>
  <si>
    <t>Polynomial (2nd Order) Fit for 2018-2030 data</t>
  </si>
  <si>
    <r>
      <t>y = 0.4759523810x</t>
    </r>
    <r>
      <rPr>
        <b/>
        <vertAlign val="superscript"/>
        <sz val="9"/>
        <rFont val="Calibri"/>
        <family val="2"/>
        <scheme val="minor"/>
      </rPr>
      <t>2</t>
    </r>
    <r>
      <rPr>
        <b/>
        <sz val="9"/>
        <rFont val="Calibri"/>
        <family val="2"/>
        <scheme val="minor"/>
      </rPr>
      <t xml:space="preserve"> - 1,937.6138095236x + 1,972,141.5814283900</t>
    </r>
  </si>
  <si>
    <t>We curve fit the 2018-2030 data, which nicely matches a second-order polynomial, and use this</t>
  </si>
  <si>
    <t>equation to fill in data for missing years before 2030.  After 2030, the data is linear, so we</t>
  </si>
  <si>
    <t>linearly interpolate to find missing values.</t>
  </si>
  <si>
    <t>in maximum battery usage rate.</t>
  </si>
  <si>
    <t>do not wish to capture). Then curve fit the remaining years to get values for 2010 through 2050.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</si>
  <si>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</si>
  <si>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</si>
  <si>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</si>
  <si>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Investment Periods</t>
  </si>
  <si>
    <t>EPS Original</t>
  </si>
  <si>
    <t>Ratio</t>
  </si>
  <si>
    <t>Li-Ion Battery Capital Cost ($/kW)</t>
  </si>
  <si>
    <t>New</t>
  </si>
  <si>
    <t>WISdom (2018 Costs)</t>
  </si>
  <si>
    <t>WISdom (2012 Dollars)</t>
  </si>
  <si>
    <t>I used data from the endo-learn/Grid Battery Energy to Power Ratio spreadsheet</t>
  </si>
  <si>
    <t>So, a 1 MWh-energy battery is equal to a 0.42 MW-power battery.</t>
  </si>
  <si>
    <t>That spreadsheet calculates that the average battery has 2.4 hours of storage. That is, when discharging at it's maximum rate, a battery will take 2.4 hours to completely discharge.</t>
  </si>
  <si>
    <t>NOTE - this is an archived calculation. I found a more straight-forward way to do this, but kept the old calculation in case we need it later.</t>
  </si>
  <si>
    <t>Overnight Capital Costs of Energy Storage 2018 $/kWh</t>
  </si>
  <si>
    <t>2012 $/kWh</t>
  </si>
  <si>
    <t xml:space="preserve">WISdom has broken the costs into a per kW and a per kWh component, so the battery capital is higher for both power and energy. </t>
  </si>
  <si>
    <t>The EPS sources are a bit outdated, so we use the same data as the VCE WISdom model, which comes from the 2019 NREL ATB.</t>
  </si>
  <si>
    <t>2012 $/kW</t>
  </si>
  <si>
    <t>Storage 2018 $/kw</t>
  </si>
  <si>
    <t>if each kW battery is 2.4 kWh (2012 $/kWh)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</si>
  <si>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</si>
  <si>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</si>
  <si>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</si>
  <si>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</si>
  <si>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</si>
  <si>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Model Component</t>
  </si>
  <si>
    <t>Total Cost ($)</t>
  </si>
  <si>
    <t>$/W</t>
  </si>
  <si>
    <t>Total Cost</t>
  </si>
  <si>
    <t>Li-ion battery</t>
  </si>
  <si>
    <t>Battery central inverter</t>
  </si>
  <si>
    <t>Structural BOS</t>
  </si>
  <si>
    <t>Electrical BOS</t>
  </si>
  <si>
    <t>Installation labor &amp; equipment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</si>
  <si>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</si>
  <si>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</si>
  <si>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</si>
  <si>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</si>
  <si>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</si>
  <si>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</si>
  <si>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</si>
  <si>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</si>
  <si>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</si>
  <si>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</si>
  <si>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We use the largest (4-hour duration) for our estimate.</t>
  </si>
  <si>
    <t>Balance of System (excl. sales tax)</t>
  </si>
  <si>
    <t>2018 $/W</t>
  </si>
  <si>
    <t>Sales tax on balance of system elements</t>
  </si>
  <si>
    <t>Balance of System</t>
  </si>
  <si>
    <t>2018 $/MW</t>
  </si>
  <si>
    <t>2012 $/MW</t>
  </si>
  <si>
    <t>For the U.S. model, we assume the balance of system costs remain constant throughout the model run.</t>
  </si>
  <si>
    <t>Unit: $/MW</t>
  </si>
  <si>
    <t>BCpUC Battery Balance of System Cost per Unit Capacity</t>
  </si>
  <si>
    <t>Balance of System Costs</t>
  </si>
  <si>
    <t>National Renewable Energy Laboratory</t>
  </si>
  <si>
    <t>2018 U.S. Utility-Scale Photovoltaics Plus-Energy Storage System Costs Benchmark</t>
  </si>
  <si>
    <t>https://www.nrel.gov/docs/fy19osti/71714.pdf</t>
  </si>
  <si>
    <t>Page 12, Table 3</t>
  </si>
  <si>
    <t>The "balance of system" should include all costs the utility must pay to purchase and</t>
  </si>
  <si>
    <t>install the battery system, apart from the batteries themselves (and apart from sales</t>
  </si>
  <si>
    <t>tax on the batteries).  This includes the inverter, labor, etc.</t>
  </si>
  <si>
    <t>Only the battery cost is affected by endogenous learning.  The "Balance of System"</t>
  </si>
  <si>
    <t>costs are read directly from this variable and are not modified via endogenous learning</t>
  </si>
  <si>
    <t>inside the simulator.</t>
  </si>
  <si>
    <t>Currency Adjustment</t>
  </si>
  <si>
    <t>We adjust currency using the following conversion factors:</t>
  </si>
  <si>
    <t>2010 to 2012 USD</t>
  </si>
  <si>
    <t>2018 to 2012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</si>
</sst>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"/>
    <numFmt numFmtId="165" formatCode="#,##0.000"/>
    <numFmt numFmtId="166" formatCode="0.0"/>
    <numFmt numFmtId="167" formatCode="#,##0;#,##0"/>
    <numFmt numFmtId="168" formatCode="###0;###0"/>
    <numFmt numFmtId="169" formatCode="###0.00;###0.00"/>
    <numFmt numFmtId="170" formatCode="0.00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Open Sans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Open Sans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1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164" fontId="3" fillId="0" borderId="0" xfId="0" applyNumberFormat="1" applyFon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8" fillId="0" borderId="0" xfId="0" applyFont="1" applyAlignment="1">
      <alignment horizontal="left" vertical="center" readingOrder="1"/>
    </xf>
    <xf numFmtId="164" fontId="0" fillId="0" borderId="0" xfId="0" applyNumberFormat="1" applyFont="1"/>
    <xf numFmtId="0" fontId="10" fillId="0" borderId="0" xfId="0" applyFont="1"/>
    <xf numFmtId="49" fontId="11" fillId="0" borderId="0" xfId="0" applyNumberFormat="1" applyFont="1"/>
    <xf numFmtId="4" fontId="11" fillId="0" borderId="0" xfId="0" applyNumberFormat="1" applyFont="1"/>
    <xf numFmtId="0" fontId="13" fillId="0" borderId="0" xfId="0" applyFont="1"/>
    <xf numFmtId="0" fontId="14" fillId="2" borderId="0" xfId="0" applyFont="1" applyFill="1"/>
    <xf numFmtId="0" fontId="13" fillId="2" borderId="0" xfId="0" applyFont="1" applyFill="1"/>
    <xf numFmtId="0" fontId="13" fillId="0" borderId="0" xfId="0" applyFont="1" applyFill="1"/>
    <xf numFmtId="164" fontId="13" fillId="0" borderId="0" xfId="0" applyNumberFormat="1" applyFont="1" applyFill="1"/>
    <xf numFmtId="2" fontId="13" fillId="0" borderId="0" xfId="0" applyNumberFormat="1" applyFont="1"/>
    <xf numFmtId="164" fontId="13" fillId="0" borderId="0" xfId="0" applyNumberFormat="1" applyFont="1"/>
    <xf numFmtId="0" fontId="15" fillId="0" borderId="0" xfId="0" applyFont="1" applyFill="1"/>
    <xf numFmtId="164" fontId="14" fillId="0" borderId="0" xfId="0" applyNumberFormat="1" applyFont="1" applyFill="1"/>
    <xf numFmtId="164" fontId="15" fillId="0" borderId="0" xfId="0" applyNumberFormat="1" applyFont="1" applyFill="1"/>
    <xf numFmtId="0" fontId="12" fillId="0" borderId="0" xfId="0" applyFont="1"/>
    <xf numFmtId="0" fontId="16" fillId="0" borderId="0" xfId="0" applyFont="1"/>
    <xf numFmtId="0" fontId="17" fillId="4" borderId="5" xfId="0" applyFont="1" applyFill="1" applyBorder="1"/>
    <xf numFmtId="165" fontId="18" fillId="5" borderId="6" xfId="0" applyNumberFormat="1" applyFont="1" applyFill="1" applyBorder="1"/>
    <xf numFmtId="165" fontId="18" fillId="5" borderId="7" xfId="0" applyNumberFormat="1" applyFont="1" applyFill="1" applyBorder="1"/>
    <xf numFmtId="0" fontId="17" fillId="4" borderId="0" xfId="0" applyFont="1" applyFill="1" applyBorder="1"/>
    <xf numFmtId="166" fontId="0" fillId="0" borderId="0" xfId="0" applyNumberFormat="1"/>
    <xf numFmtId="0" fontId="1" fillId="6" borderId="0" xfId="0" applyFont="1" applyFill="1"/>
    <xf numFmtId="0" fontId="0" fillId="6" borderId="0" xfId="0" applyFill="1"/>
    <xf numFmtId="0" fontId="0" fillId="0" borderId="0" xfId="0" applyFill="1"/>
    <xf numFmtId="0" fontId="0" fillId="0" borderId="8" xfId="0" applyFont="1" applyFill="1" applyBorder="1"/>
    <xf numFmtId="0" fontId="1" fillId="0" borderId="12" xfId="0" applyFont="1" applyFill="1" applyBorder="1"/>
    <xf numFmtId="0" fontId="19" fillId="0" borderId="13" xfId="0" applyFont="1" applyFill="1" applyBorder="1" applyAlignment="1">
      <alignment horizontal="left" vertical="top"/>
    </xf>
    <xf numFmtId="0" fontId="1" fillId="0" borderId="13" xfId="0" applyFont="1" applyFill="1" applyBorder="1"/>
    <xf numFmtId="0" fontId="1" fillId="0" borderId="14" xfId="0" applyFont="1" applyFill="1" applyBorder="1"/>
    <xf numFmtId="0" fontId="20" fillId="0" borderId="8" xfId="0" applyFont="1" applyFill="1" applyBorder="1" applyAlignment="1">
      <alignment horizontal="left" vertical="top" wrapText="1"/>
    </xf>
    <xf numFmtId="167" fontId="20" fillId="0" borderId="0" xfId="0" applyNumberFormat="1" applyFont="1" applyFill="1" applyBorder="1" applyAlignment="1">
      <alignment horizontal="left" vertical="top" wrapText="1"/>
    </xf>
    <xf numFmtId="168" fontId="20" fillId="0" borderId="0" xfId="0" applyNumberFormat="1" applyFont="1" applyFill="1" applyBorder="1" applyAlignment="1">
      <alignment horizontal="left" vertical="top" wrapText="1"/>
    </xf>
    <xf numFmtId="169" fontId="20" fillId="0" borderId="8" xfId="0" applyNumberFormat="1" applyFont="1" applyFill="1" applyBorder="1" applyAlignment="1">
      <alignment horizontal="left" vertical="top" wrapText="1"/>
    </xf>
    <xf numFmtId="167" fontId="20" fillId="0" borderId="15" xfId="0" applyNumberFormat="1" applyFont="1" applyFill="1" applyBorder="1" applyAlignment="1">
      <alignment horizontal="left" vertical="top" wrapText="1"/>
    </xf>
    <xf numFmtId="0" fontId="19" fillId="7" borderId="16" xfId="0" applyFont="1" applyFill="1" applyBorder="1" applyAlignment="1">
      <alignment horizontal="left" vertical="top" wrapText="1"/>
    </xf>
    <xf numFmtId="167" fontId="19" fillId="7" borderId="17" xfId="0" applyNumberFormat="1" applyFont="1" applyFill="1" applyBorder="1" applyAlignment="1">
      <alignment horizontal="left" vertical="top" wrapText="1"/>
    </xf>
    <xf numFmtId="168" fontId="19" fillId="7" borderId="17" xfId="0" applyNumberFormat="1" applyFont="1" applyFill="1" applyBorder="1" applyAlignment="1">
      <alignment horizontal="left" vertical="top" wrapText="1"/>
    </xf>
    <xf numFmtId="169" fontId="19" fillId="7" borderId="16" xfId="0" applyNumberFormat="1" applyFont="1" applyFill="1" applyBorder="1" applyAlignment="1">
      <alignment horizontal="left" vertical="top" wrapText="1"/>
    </xf>
    <xf numFmtId="167" fontId="19" fillId="7" borderId="18" xfId="0" applyNumberFormat="1" applyFont="1" applyFill="1" applyBorder="1" applyAlignment="1">
      <alignment horizontal="left" vertical="top" wrapText="1"/>
    </xf>
    <xf numFmtId="0" fontId="20" fillId="0" borderId="19" xfId="0" applyFont="1" applyFill="1" applyBorder="1" applyAlignment="1">
      <alignment horizontal="left" vertical="center" wrapText="1"/>
    </xf>
    <xf numFmtId="167" fontId="20" fillId="0" borderId="20" xfId="0" applyNumberFormat="1" applyFont="1" applyFill="1" applyBorder="1" applyAlignment="1">
      <alignment horizontal="left" vertical="center" wrapText="1"/>
    </xf>
    <xf numFmtId="168" fontId="20" fillId="0" borderId="20" xfId="0" applyNumberFormat="1" applyFont="1" applyFill="1" applyBorder="1" applyAlignment="1">
      <alignment horizontal="left" vertical="center" wrapText="1"/>
    </xf>
    <xf numFmtId="169" fontId="20" fillId="0" borderId="19" xfId="0" applyNumberFormat="1" applyFont="1" applyFill="1" applyBorder="1" applyAlignment="1">
      <alignment horizontal="left" vertical="center" wrapText="1"/>
    </xf>
    <xf numFmtId="167" fontId="20" fillId="0" borderId="21" xfId="0" applyNumberFormat="1" applyFont="1" applyFill="1" applyBorder="1" applyAlignment="1">
      <alignment horizontal="left" vertical="center" wrapText="1"/>
    </xf>
    <xf numFmtId="0" fontId="20" fillId="7" borderId="12" xfId="0" applyFont="1" applyFill="1" applyBorder="1" applyAlignment="1">
      <alignment horizontal="left" vertical="top" wrapText="1"/>
    </xf>
    <xf numFmtId="167" fontId="20" fillId="7" borderId="13" xfId="0" applyNumberFormat="1" applyFont="1" applyFill="1" applyBorder="1" applyAlignment="1">
      <alignment horizontal="left" vertical="top" wrapText="1"/>
    </xf>
    <xf numFmtId="168" fontId="20" fillId="7" borderId="13" xfId="0" applyNumberFormat="1" applyFont="1" applyFill="1" applyBorder="1" applyAlignment="1">
      <alignment horizontal="left" vertical="top" wrapText="1"/>
    </xf>
    <xf numFmtId="169" fontId="20" fillId="7" borderId="12" xfId="0" applyNumberFormat="1" applyFont="1" applyFill="1" applyBorder="1" applyAlignment="1">
      <alignment horizontal="left" vertical="top" wrapText="1"/>
    </xf>
    <xf numFmtId="167" fontId="20" fillId="7" borderId="14" xfId="0" applyNumberFormat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/>
    </xf>
    <xf numFmtId="169" fontId="0" fillId="0" borderId="0" xfId="0" applyNumberFormat="1" applyFill="1"/>
    <xf numFmtId="0" fontId="0" fillId="0" borderId="0" xfId="0" applyFont="1" applyFill="1" applyAlignment="1">
      <alignment horizontal="right"/>
    </xf>
    <xf numFmtId="0" fontId="0" fillId="0" borderId="0" xfId="0" applyFill="1" applyBorder="1"/>
    <xf numFmtId="2" fontId="0" fillId="0" borderId="0" xfId="0" applyNumberFormat="1" applyFill="1"/>
    <xf numFmtId="1" fontId="0" fillId="0" borderId="0" xfId="0" applyNumberFormat="1" applyFill="1"/>
    <xf numFmtId="170" fontId="0" fillId="0" borderId="0" xfId="0" applyNumberFormat="1"/>
    <xf numFmtId="0" fontId="13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Calculations!$B$11</c:f>
              <c:strCache>
                <c:ptCount val="1"/>
                <c:pt idx="0">
                  <c:v>Li-Ion Battery Capital Cost ($/kWh)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alculations!$A$16,Calculations!$A$18,Calculations!$A$20,Calculations!$A$22,Calculations!$A$24,Calculations!$A$26,Calculations!$A$28,Calculations!$A$30,Calculations!$A$32,Calculations!$A$34,Calculations!$A$36,Calculations!$A$38,Calculations!$A$40,Calculations!$A$42,Calculations!$A$44,Calculations!$A$46,Calculations!$A$48,Calculations!$A$50,Calculations!$A$52)</c:f>
              <c:numCache>
                <c:formatCode>General</c:formatCode>
                <c:ptCount val="19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  <c:pt idx="3">
                  <c:v>2020</c:v>
                </c:pt>
                <c:pt idx="4">
                  <c:v>2022</c:v>
                </c:pt>
                <c:pt idx="5">
                  <c:v>2024</c:v>
                </c:pt>
                <c:pt idx="6">
                  <c:v>2026</c:v>
                </c:pt>
                <c:pt idx="7">
                  <c:v>2028</c:v>
                </c:pt>
                <c:pt idx="8">
                  <c:v>2030</c:v>
                </c:pt>
                <c:pt idx="9">
                  <c:v>2032</c:v>
                </c:pt>
                <c:pt idx="10">
                  <c:v>2034</c:v>
                </c:pt>
                <c:pt idx="11">
                  <c:v>2036</c:v>
                </c:pt>
                <c:pt idx="12">
                  <c:v>2038</c:v>
                </c:pt>
                <c:pt idx="13">
                  <c:v>2040</c:v>
                </c:pt>
                <c:pt idx="14">
                  <c:v>2042</c:v>
                </c:pt>
                <c:pt idx="15">
                  <c:v>2044</c:v>
                </c:pt>
                <c:pt idx="16">
                  <c:v>2046</c:v>
                </c:pt>
                <c:pt idx="17">
                  <c:v>2048</c:v>
                </c:pt>
                <c:pt idx="18">
                  <c:v>2050</c:v>
                </c:pt>
              </c:numCache>
            </c:numRef>
          </c:xVal>
          <c:yVal>
            <c:numRef>
              <c:f>(Calculations!$B$16,Calculations!$B$18,Calculations!$B$20,Calculations!$B$22,Calculations!$B$24,Calculations!$B$26,Calculations!$B$28,Calculations!$B$30,Calculations!$B$32,Calculations!$B$34,Calculations!$B$36,Calculations!$B$38,Calculations!$B$40,Calculations!$B$42,Calculations!$B$44,Calculations!$B$46,Calculations!$B$48,Calculations!$B$50,Calculations!$B$52)</c:f>
              <c:numCache>
                <c:formatCode>"$"#,##0.00</c:formatCode>
                <c:ptCount val="19"/>
                <c:pt idx="0">
                  <c:v>343.51305053569376</c:v>
                </c:pt>
                <c:pt idx="1">
                  <c:v>304.46162234828807</c:v>
                </c:pt>
                <c:pt idx="2">
                  <c:v>269.83</c:v>
                </c:pt>
                <c:pt idx="3">
                  <c:v>236.56</c:v>
                </c:pt>
                <c:pt idx="4">
                  <c:v>210.4</c:v>
                </c:pt>
                <c:pt idx="5">
                  <c:v>186.83</c:v>
                </c:pt>
                <c:pt idx="6">
                  <c:v>166.37</c:v>
                </c:pt>
                <c:pt idx="7">
                  <c:v>149.96</c:v>
                </c:pt>
                <c:pt idx="8">
                  <c:v>137.68</c:v>
                </c:pt>
                <c:pt idx="9">
                  <c:v>133.44999999999999</c:v>
                </c:pt>
                <c:pt idx="10">
                  <c:v>130.38999999999999</c:v>
                </c:pt>
                <c:pt idx="11">
                  <c:v>127.93</c:v>
                </c:pt>
                <c:pt idx="12">
                  <c:v>125.78</c:v>
                </c:pt>
                <c:pt idx="13">
                  <c:v>123.76</c:v>
                </c:pt>
                <c:pt idx="14">
                  <c:v>121.6</c:v>
                </c:pt>
                <c:pt idx="15">
                  <c:v>119.5</c:v>
                </c:pt>
                <c:pt idx="16">
                  <c:v>117.48</c:v>
                </c:pt>
                <c:pt idx="17">
                  <c:v>115.51</c:v>
                </c:pt>
                <c:pt idx="18">
                  <c:v>113.61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9-436B-B23F-B2D260961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40224"/>
        <c:axId val="145572224"/>
      </c:scatterChart>
      <c:valAx>
        <c:axId val="13834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2224"/>
        <c:crosses val="autoZero"/>
        <c:crossBetween val="midCat"/>
      </c:valAx>
      <c:valAx>
        <c:axId val="1455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11</xdr:row>
      <xdr:rowOff>47625</xdr:rowOff>
    </xdr:from>
    <xdr:to>
      <xdr:col>13</xdr:col>
      <xdr:colOff>295275</xdr:colOff>
      <xdr:row>29</xdr:row>
      <xdr:rowOff>123826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XFD1048576"/>
    </sheetView>
  </sheetViews>
  <sheetFormatPr defaultRowHeight="14.25"/>
  <cols>
    <col min="1" max="1" width="9.06640625" style="15"/>
    <col min="2" max="2" width="67.1328125" style="15" customWidth="1"/>
    <col min="3" max="16384" width="9.06640625" style="15"/>
  </cols>
  <sheetData>
    <row r="1" spans="1:2">
      <c r="A1" s="16" t="s">
        <v>34</v>
      </c>
    </row>
    <row r="2" spans="1:2">
      <c r="A2" s="16" t="s">
        <v>96</v>
      </c>
    </row>
    <row r="4" spans="1:2">
      <c r="A4" s="16" t="s">
        <v>7</v>
      </c>
      <c r="B4" s="5" t="s">
        <v>8</v>
      </c>
    </row>
    <row r="5" spans="1:2">
      <c r="B5" s="15" t="s">
        <v>9</v>
      </c>
    </row>
    <row r="6" spans="1:2">
      <c r="B6" s="7">
        <v>2014</v>
      </c>
    </row>
    <row r="7" spans="1:2">
      <c r="B7" s="15" t="s">
        <v>10</v>
      </c>
    </row>
    <row r="8" spans="1:2">
      <c r="B8" s="6" t="s">
        <v>12</v>
      </c>
    </row>
    <row r="9" spans="1:2">
      <c r="B9" s="15" t="s">
        <v>11</v>
      </c>
    </row>
    <row r="11" spans="1:2">
      <c r="B11" s="5" t="s">
        <v>13</v>
      </c>
    </row>
    <row r="12" spans="1:2">
      <c r="B12" s="15" t="s">
        <v>14</v>
      </c>
    </row>
    <row r="13" spans="1:2">
      <c r="B13" s="7">
        <v>2013</v>
      </c>
    </row>
    <row r="14" spans="1:2">
      <c r="B14" s="15" t="s">
        <v>15</v>
      </c>
    </row>
    <row r="15" spans="1:2">
      <c r="B15" s="6" t="s">
        <v>16</v>
      </c>
    </row>
    <row r="16" spans="1:2">
      <c r="B16" s="15" t="s">
        <v>17</v>
      </c>
    </row>
    <row r="18" spans="1:2">
      <c r="B18" s="5" t="s">
        <v>97</v>
      </c>
    </row>
    <row r="19" spans="1:2">
      <c r="B19" s="15" t="s">
        <v>98</v>
      </c>
    </row>
    <row r="20" spans="1:2">
      <c r="B20" s="7">
        <v>2018</v>
      </c>
    </row>
    <row r="21" spans="1:2">
      <c r="B21" s="15" t="s">
        <v>99</v>
      </c>
    </row>
    <row r="22" spans="1:2">
      <c r="B22" s="6" t="s">
        <v>100</v>
      </c>
    </row>
    <row r="23" spans="1:2">
      <c r="B23" s="15" t="s">
        <v>101</v>
      </c>
    </row>
    <row r="25" spans="1:2">
      <c r="A25" s="16" t="s">
        <v>32</v>
      </c>
    </row>
    <row r="26" spans="1:2">
      <c r="A26" s="8" t="s">
        <v>42</v>
      </c>
    </row>
    <row r="27" spans="1:2">
      <c r="A27" s="8" t="s">
        <v>43</v>
      </c>
    </row>
    <row r="28" spans="1:2">
      <c r="A28" s="8" t="s">
        <v>44</v>
      </c>
    </row>
    <row r="29" spans="1:2">
      <c r="A29" s="8"/>
    </row>
    <row r="30" spans="1:2">
      <c r="A30" s="16" t="s">
        <v>91</v>
      </c>
    </row>
    <row r="31" spans="1:2">
      <c r="A31" s="8" t="s">
        <v>102</v>
      </c>
    </row>
    <row r="32" spans="1:2">
      <c r="A32" s="8" t="s">
        <v>103</v>
      </c>
    </row>
    <row r="33" spans="1:2">
      <c r="A33" s="8" t="s">
        <v>104</v>
      </c>
    </row>
    <row r="34" spans="1:2">
      <c r="A34" s="8"/>
    </row>
    <row r="35" spans="1:2">
      <c r="A35" s="8" t="s">
        <v>105</v>
      </c>
    </row>
    <row r="36" spans="1:2">
      <c r="A36" s="8" t="s">
        <v>106</v>
      </c>
    </row>
    <row r="37" spans="1:2">
      <c r="A37" s="8" t="s">
        <v>107</v>
      </c>
    </row>
    <row r="38" spans="1:2">
      <c r="A38" s="8"/>
    </row>
    <row r="39" spans="1:2">
      <c r="A39" s="16" t="s">
        <v>108</v>
      </c>
    </row>
    <row r="40" spans="1:2">
      <c r="A40" s="15" t="s">
        <v>109</v>
      </c>
    </row>
    <row r="41" spans="1:2">
      <c r="A41" s="15">
        <v>1.0549999999999999</v>
      </c>
      <c r="B41" s="15" t="s">
        <v>110</v>
      </c>
    </row>
    <row r="42" spans="1:2">
      <c r="A42" s="74">
        <v>0.9143273584567535</v>
      </c>
      <c r="B42" s="15" t="s">
        <v>111</v>
      </c>
    </row>
    <row r="43" spans="1:2">
      <c r="A43" s="15" t="s">
        <v>33</v>
      </c>
    </row>
  </sheetData>
  <hyperlinks>
    <hyperlink ref="B8" r:id="rId1"/>
    <hyperlink ref="B15" r:id="rId2"/>
    <hyperlink ref="B2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opLeftCell="A62" workbookViewId="0">
      <selection activeCell="D76" sqref="D76"/>
    </sheetView>
  </sheetViews>
  <sheetFormatPr defaultRowHeight="14.25"/>
  <cols>
    <col min="1" max="1" width="13.86328125" customWidth="1"/>
    <col min="3" max="3" width="9.73046875" bestFit="1" customWidth="1"/>
  </cols>
  <sheetData>
    <row r="1" spans="1:4">
      <c r="A1" t="s">
        <v>18</v>
      </c>
    </row>
    <row r="2" spans="1:4">
      <c r="A2" t="s">
        <v>19</v>
      </c>
    </row>
    <row r="3" spans="1:4">
      <c r="A3" t="s">
        <v>20</v>
      </c>
    </row>
    <row r="4" spans="1:4">
      <c r="A4" t="s">
        <v>21</v>
      </c>
    </row>
    <row r="5" spans="1:4">
      <c r="A5" s="8" t="s">
        <v>41</v>
      </c>
    </row>
    <row r="6" spans="1:4" s="15" customFormat="1">
      <c r="A6" s="8" t="s">
        <v>37</v>
      </c>
    </row>
    <row r="7" spans="1:4" s="15" customFormat="1">
      <c r="A7" s="8" t="s">
        <v>38</v>
      </c>
    </row>
    <row r="8" spans="1:4" s="15" customFormat="1">
      <c r="A8" s="8" t="s">
        <v>39</v>
      </c>
    </row>
    <row r="9" spans="1:4">
      <c r="A9" s="8"/>
    </row>
    <row r="10" spans="1:4">
      <c r="A10" s="5" t="s">
        <v>5</v>
      </c>
      <c r="B10" s="4"/>
      <c r="C10" s="4"/>
      <c r="D10" s="4"/>
    </row>
    <row r="11" spans="1:4">
      <c r="B11" t="s">
        <v>30</v>
      </c>
    </row>
    <row r="12" spans="1:4">
      <c r="A12" s="3">
        <v>2010</v>
      </c>
      <c r="B12" s="12">
        <f t="shared" ref="B12:B14" si="0">0.475952381*A12^2-1937.6138095236*A12+1972141.58142839</f>
        <v>433.0387640541885</v>
      </c>
    </row>
    <row r="13" spans="1:4">
      <c r="A13" s="3">
        <v>2011</v>
      </c>
      <c r="B13" s="12">
        <f t="shared" si="0"/>
        <v>409.22947853151709</v>
      </c>
    </row>
    <row r="14" spans="1:4">
      <c r="A14" s="3">
        <v>2012</v>
      </c>
      <c r="B14" s="12">
        <f t="shared" si="0"/>
        <v>386.3720977709163</v>
      </c>
    </row>
    <row r="15" spans="1:4">
      <c r="A15" s="3">
        <v>2013</v>
      </c>
      <c r="B15" s="12">
        <f>0.475952381*A15^2-1937.6138095236*A15+1972141.58142839</f>
        <v>364.4666217721533</v>
      </c>
    </row>
    <row r="16" spans="1:4">
      <c r="A16" s="3">
        <v>2014</v>
      </c>
      <c r="B16" s="12">
        <f t="shared" ref="B16:B31" si="1">0.475952381*A16^2-1937.6138095236*A16+1972141.58142839</f>
        <v>343.51305053569376</v>
      </c>
    </row>
    <row r="17" spans="1:2">
      <c r="A17" s="3">
        <v>2015</v>
      </c>
      <c r="B17" s="12">
        <f t="shared" si="1"/>
        <v>323.51138406107202</v>
      </c>
    </row>
    <row r="18" spans="1:2">
      <c r="A18" s="3">
        <v>2016</v>
      </c>
      <c r="B18" s="12">
        <f t="shared" si="1"/>
        <v>304.46162234828807</v>
      </c>
    </row>
    <row r="19" spans="1:2">
      <c r="A19" s="3">
        <v>2017</v>
      </c>
      <c r="B19" s="12">
        <f t="shared" si="1"/>
        <v>286.36376539757475</v>
      </c>
    </row>
    <row r="20" spans="1:2">
      <c r="A20">
        <v>2018</v>
      </c>
      <c r="B20" s="10">
        <v>269.83</v>
      </c>
    </row>
    <row r="21" spans="1:2">
      <c r="A21" s="3">
        <v>2019</v>
      </c>
      <c r="B21" s="12">
        <f t="shared" si="1"/>
        <v>253.02376578282565</v>
      </c>
    </row>
    <row r="22" spans="1:2">
      <c r="A22">
        <v>2020</v>
      </c>
      <c r="B22" s="10">
        <v>236.56</v>
      </c>
    </row>
    <row r="23" spans="1:2">
      <c r="A23" s="3">
        <v>2021</v>
      </c>
      <c r="B23" s="12">
        <f t="shared" si="1"/>
        <v>223.49138521566056</v>
      </c>
    </row>
    <row r="24" spans="1:2">
      <c r="A24">
        <v>2022</v>
      </c>
      <c r="B24" s="10">
        <v>210.4</v>
      </c>
    </row>
    <row r="25" spans="1:2">
      <c r="A25" s="3">
        <v>2023</v>
      </c>
      <c r="B25" s="12">
        <f t="shared" si="1"/>
        <v>197.76662369631231</v>
      </c>
    </row>
    <row r="26" spans="1:2">
      <c r="A26">
        <v>2024</v>
      </c>
      <c r="B26" s="10">
        <v>186.83</v>
      </c>
    </row>
    <row r="27" spans="1:2">
      <c r="A27" s="3">
        <v>2025</v>
      </c>
      <c r="B27" s="12">
        <f t="shared" si="1"/>
        <v>175.84948122501373</v>
      </c>
    </row>
    <row r="28" spans="1:2">
      <c r="A28">
        <v>2026</v>
      </c>
      <c r="B28" s="10">
        <v>166.37</v>
      </c>
    </row>
    <row r="29" spans="1:2">
      <c r="A29" s="3">
        <v>2027</v>
      </c>
      <c r="B29" s="12">
        <f t="shared" si="1"/>
        <v>157.73995780176483</v>
      </c>
    </row>
    <row r="30" spans="1:2">
      <c r="A30">
        <v>2028</v>
      </c>
      <c r="B30" s="10">
        <v>149.96</v>
      </c>
    </row>
    <row r="31" spans="1:2">
      <c r="A31" s="3">
        <v>2029</v>
      </c>
      <c r="B31" s="12">
        <f t="shared" si="1"/>
        <v>143.4380534265656</v>
      </c>
    </row>
    <row r="32" spans="1:2">
      <c r="A32">
        <v>2030</v>
      </c>
      <c r="B32" s="10">
        <v>137.68</v>
      </c>
    </row>
    <row r="33" spans="1:6" s="15" customFormat="1">
      <c r="A33" s="15">
        <v>2031</v>
      </c>
      <c r="B33" s="12">
        <f>AVERAGE(B32,B34)</f>
        <v>135.565</v>
      </c>
      <c r="F33" s="16" t="s">
        <v>35</v>
      </c>
    </row>
    <row r="34" spans="1:6" s="15" customFormat="1">
      <c r="A34" s="3">
        <v>2032</v>
      </c>
      <c r="B34" s="10">
        <v>133.44999999999999</v>
      </c>
      <c r="F34" s="18" t="s">
        <v>36</v>
      </c>
    </row>
    <row r="35" spans="1:6" s="15" customFormat="1">
      <c r="A35" s="15">
        <v>2033</v>
      </c>
      <c r="B35" s="12">
        <f>AVERAGE(B34,B36)</f>
        <v>131.91999999999999</v>
      </c>
    </row>
    <row r="36" spans="1:6" s="15" customFormat="1">
      <c r="A36" s="3">
        <v>2034</v>
      </c>
      <c r="B36" s="10">
        <v>130.38999999999999</v>
      </c>
    </row>
    <row r="37" spans="1:6" s="15" customFormat="1">
      <c r="A37" s="15">
        <v>2035</v>
      </c>
      <c r="B37" s="12">
        <f>AVERAGE(B36,B38)</f>
        <v>129.16</v>
      </c>
    </row>
    <row r="38" spans="1:6" s="15" customFormat="1">
      <c r="A38" s="3">
        <v>2036</v>
      </c>
      <c r="B38" s="10">
        <v>127.93</v>
      </c>
    </row>
    <row r="39" spans="1:6" s="15" customFormat="1">
      <c r="A39" s="15">
        <v>2037</v>
      </c>
      <c r="B39" s="12">
        <f>AVERAGE(B38,B40)</f>
        <v>126.855</v>
      </c>
    </row>
    <row r="40" spans="1:6" s="15" customFormat="1">
      <c r="A40" s="15">
        <v>2038</v>
      </c>
      <c r="B40" s="10">
        <v>125.78</v>
      </c>
    </row>
    <row r="41" spans="1:6" s="15" customFormat="1">
      <c r="A41" s="3">
        <v>2039</v>
      </c>
      <c r="B41" s="12">
        <f>AVERAGE(B40,B42)</f>
        <v>124.77000000000001</v>
      </c>
    </row>
    <row r="42" spans="1:6" s="15" customFormat="1">
      <c r="A42" s="15">
        <v>2040</v>
      </c>
      <c r="B42" s="10">
        <v>123.76</v>
      </c>
    </row>
    <row r="43" spans="1:6" s="15" customFormat="1">
      <c r="A43" s="3">
        <v>2041</v>
      </c>
      <c r="B43" s="12">
        <f>AVERAGE(B42,B44)</f>
        <v>122.68</v>
      </c>
    </row>
    <row r="44" spans="1:6" s="15" customFormat="1">
      <c r="A44" s="15">
        <v>2042</v>
      </c>
      <c r="B44" s="10">
        <v>121.6</v>
      </c>
    </row>
    <row r="45" spans="1:6" s="15" customFormat="1">
      <c r="A45" s="3">
        <v>2043</v>
      </c>
      <c r="B45" s="12">
        <f>AVERAGE(B44,B46)</f>
        <v>120.55</v>
      </c>
    </row>
    <row r="46" spans="1:6" s="15" customFormat="1">
      <c r="A46" s="15">
        <v>2044</v>
      </c>
      <c r="B46" s="10">
        <v>119.5</v>
      </c>
    </row>
    <row r="47" spans="1:6" s="15" customFormat="1">
      <c r="A47" s="15">
        <v>2045</v>
      </c>
      <c r="B47" s="12">
        <f>AVERAGE(B46,B48)</f>
        <v>118.49000000000001</v>
      </c>
    </row>
    <row r="48" spans="1:6" s="15" customFormat="1">
      <c r="A48" s="3">
        <v>2046</v>
      </c>
      <c r="B48" s="10">
        <v>117.48</v>
      </c>
    </row>
    <row r="49" spans="1:10" s="15" customFormat="1">
      <c r="A49" s="15">
        <v>2047</v>
      </c>
      <c r="B49" s="12">
        <f>AVERAGE(B48,B50)</f>
        <v>116.495</v>
      </c>
    </row>
    <row r="50" spans="1:10" s="15" customFormat="1">
      <c r="A50" s="3">
        <v>2048</v>
      </c>
      <c r="B50" s="10">
        <v>115.51</v>
      </c>
    </row>
    <row r="51" spans="1:10" s="15" customFormat="1">
      <c r="A51" s="15">
        <v>2049</v>
      </c>
      <c r="B51" s="12">
        <f>AVERAGE(B50,B52)</f>
        <v>114.56</v>
      </c>
    </row>
    <row r="52" spans="1:10">
      <c r="A52" s="3">
        <v>2050</v>
      </c>
      <c r="B52" s="10">
        <v>113.61</v>
      </c>
    </row>
    <row r="53" spans="1:10">
      <c r="B53" s="2"/>
    </row>
    <row r="54" spans="1:10">
      <c r="A54" t="s">
        <v>22</v>
      </c>
      <c r="B54" s="2"/>
    </row>
    <row r="55" spans="1:10">
      <c r="A55" t="s">
        <v>23</v>
      </c>
      <c r="B55" s="2"/>
    </row>
    <row r="56" spans="1:10">
      <c r="A56" t="s">
        <v>24</v>
      </c>
      <c r="B56" s="2"/>
    </row>
    <row r="58" spans="1:10">
      <c r="A58" s="5" t="s">
        <v>4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t="s">
        <v>0</v>
      </c>
      <c r="B59" t="s">
        <v>1</v>
      </c>
      <c r="C59" t="s">
        <v>2</v>
      </c>
    </row>
    <row r="60" spans="1:10">
      <c r="A60">
        <v>603</v>
      </c>
      <c r="B60">
        <v>2010</v>
      </c>
      <c r="C60" s="14">
        <f>A60*About!$A$23</f>
        <v>0</v>
      </c>
    </row>
    <row r="61" spans="1:10">
      <c r="A61">
        <v>779</v>
      </c>
      <c r="B61">
        <v>2010</v>
      </c>
      <c r="C61" s="14">
        <f>A61*About!$A$23</f>
        <v>0</v>
      </c>
    </row>
    <row r="62" spans="1:10">
      <c r="A62">
        <v>711</v>
      </c>
      <c r="B62">
        <v>2010</v>
      </c>
      <c r="C62" s="14">
        <f>A62*About!$A$23</f>
        <v>0</v>
      </c>
    </row>
    <row r="63" spans="1:10">
      <c r="A63">
        <v>707</v>
      </c>
      <c r="B63">
        <v>2010</v>
      </c>
      <c r="C63" s="14">
        <f>A63*About!$A$23</f>
        <v>0</v>
      </c>
    </row>
    <row r="64" spans="1:10">
      <c r="A64">
        <v>637</v>
      </c>
      <c r="B64">
        <v>2010</v>
      </c>
      <c r="C64" s="14">
        <f>A64*About!$A$23</f>
        <v>0</v>
      </c>
    </row>
    <row r="65" spans="1:4">
      <c r="C65" s="17">
        <f>AVERAGE(C60:C64)</f>
        <v>0</v>
      </c>
      <c r="D65" s="1" t="s">
        <v>29</v>
      </c>
    </row>
    <row r="67" spans="1:4">
      <c r="A67" t="s">
        <v>25</v>
      </c>
    </row>
    <row r="68" spans="1:4">
      <c r="A68" t="s">
        <v>26</v>
      </c>
    </row>
    <row r="69" spans="1:4">
      <c r="A69" t="s">
        <v>27</v>
      </c>
    </row>
    <row r="70" spans="1:4">
      <c r="A70" t="s">
        <v>28</v>
      </c>
    </row>
    <row r="71" spans="1:4">
      <c r="A71" t="s">
        <v>40</v>
      </c>
    </row>
    <row r="73" spans="1:4">
      <c r="A73" s="5" t="s">
        <v>5</v>
      </c>
      <c r="B73" s="4"/>
      <c r="C73" s="4"/>
      <c r="D73" s="4"/>
    </row>
    <row r="74" spans="1:4">
      <c r="B74" t="s">
        <v>6</v>
      </c>
    </row>
    <row r="75" spans="1:4">
      <c r="A75" s="2"/>
      <c r="B75" t="s">
        <v>3</v>
      </c>
      <c r="C75" t="s">
        <v>0</v>
      </c>
    </row>
    <row r="76" spans="1:4">
      <c r="A76" s="8">
        <v>2010</v>
      </c>
      <c r="B76" s="19">
        <f>B12</f>
        <v>433.0387640541885</v>
      </c>
      <c r="C76" s="10">
        <f>C65</f>
        <v>0</v>
      </c>
    </row>
    <row r="77" spans="1:4">
      <c r="A77" s="8">
        <v>2011</v>
      </c>
      <c r="B77" s="19">
        <f t="shared" ref="B77:B116" si="2">B13</f>
        <v>409.22947853151709</v>
      </c>
      <c r="C77" s="11">
        <f>B77+(C$76-B$76)</f>
        <v>-23.809285522671416</v>
      </c>
    </row>
    <row r="78" spans="1:4">
      <c r="A78" s="8">
        <v>2012</v>
      </c>
      <c r="B78" s="19">
        <f t="shared" si="2"/>
        <v>386.3720977709163</v>
      </c>
      <c r="C78" s="11">
        <f t="shared" ref="C78:C116" si="3">B78+(C$76-B$76)</f>
        <v>-46.666666283272207</v>
      </c>
    </row>
    <row r="79" spans="1:4">
      <c r="A79" s="8">
        <v>2013</v>
      </c>
      <c r="B79" s="19">
        <f t="shared" si="2"/>
        <v>364.4666217721533</v>
      </c>
      <c r="C79" s="11">
        <f t="shared" si="3"/>
        <v>-68.572142282035202</v>
      </c>
    </row>
    <row r="80" spans="1:4">
      <c r="A80" s="8">
        <v>2014</v>
      </c>
      <c r="B80" s="19">
        <f t="shared" si="2"/>
        <v>343.51305053569376</v>
      </c>
      <c r="C80" s="11">
        <f t="shared" si="3"/>
        <v>-89.52571351849474</v>
      </c>
    </row>
    <row r="81" spans="1:3">
      <c r="A81" s="8">
        <v>2015</v>
      </c>
      <c r="B81" s="19">
        <f t="shared" si="2"/>
        <v>323.51138406107202</v>
      </c>
      <c r="C81" s="11">
        <f t="shared" si="3"/>
        <v>-109.52737999311648</v>
      </c>
    </row>
    <row r="82" spans="1:3">
      <c r="A82" s="8">
        <v>2016</v>
      </c>
      <c r="B82" s="19">
        <f t="shared" si="2"/>
        <v>304.46162234828807</v>
      </c>
      <c r="C82" s="11">
        <f t="shared" si="3"/>
        <v>-128.57714170590043</v>
      </c>
    </row>
    <row r="83" spans="1:3">
      <c r="A83" s="8">
        <v>2017</v>
      </c>
      <c r="B83" s="19">
        <f t="shared" si="2"/>
        <v>286.36376539757475</v>
      </c>
      <c r="C83" s="11">
        <f t="shared" si="3"/>
        <v>-146.67499865661375</v>
      </c>
    </row>
    <row r="84" spans="1:3">
      <c r="A84" s="8">
        <v>2018</v>
      </c>
      <c r="B84" s="19">
        <f t="shared" si="2"/>
        <v>269.83</v>
      </c>
      <c r="C84" s="11">
        <f t="shared" si="3"/>
        <v>-163.20876405418852</v>
      </c>
    </row>
    <row r="85" spans="1:3">
      <c r="A85" s="8">
        <v>2019</v>
      </c>
      <c r="B85" s="19">
        <f t="shared" si="2"/>
        <v>253.02376578282565</v>
      </c>
      <c r="C85" s="11">
        <f t="shared" si="3"/>
        <v>-180.01499827136286</v>
      </c>
    </row>
    <row r="86" spans="1:3">
      <c r="A86" s="8">
        <v>2020</v>
      </c>
      <c r="B86" s="19">
        <f t="shared" si="2"/>
        <v>236.56</v>
      </c>
      <c r="C86" s="11">
        <f t="shared" si="3"/>
        <v>-196.4787640541885</v>
      </c>
    </row>
    <row r="87" spans="1:3">
      <c r="A87" s="8">
        <v>2021</v>
      </c>
      <c r="B87" s="19">
        <f t="shared" si="2"/>
        <v>223.49138521566056</v>
      </c>
      <c r="C87" s="11">
        <f t="shared" si="3"/>
        <v>-209.54737883852795</v>
      </c>
    </row>
    <row r="88" spans="1:3">
      <c r="A88" s="8">
        <v>2022</v>
      </c>
      <c r="B88" s="19">
        <f t="shared" si="2"/>
        <v>210.4</v>
      </c>
      <c r="C88" s="11">
        <f t="shared" si="3"/>
        <v>-222.6387640541885</v>
      </c>
    </row>
    <row r="89" spans="1:3">
      <c r="A89" s="8">
        <v>2023</v>
      </c>
      <c r="B89" s="19">
        <f t="shared" si="2"/>
        <v>197.76662369631231</v>
      </c>
      <c r="C89" s="11">
        <f t="shared" si="3"/>
        <v>-235.2721403578762</v>
      </c>
    </row>
    <row r="90" spans="1:3">
      <c r="A90" s="8">
        <v>2024</v>
      </c>
      <c r="B90" s="19">
        <f t="shared" si="2"/>
        <v>186.83</v>
      </c>
      <c r="C90" s="11">
        <f t="shared" si="3"/>
        <v>-246.20876405418849</v>
      </c>
    </row>
    <row r="91" spans="1:3">
      <c r="A91" s="8">
        <v>2025</v>
      </c>
      <c r="B91" s="19">
        <f t="shared" si="2"/>
        <v>175.84948122501373</v>
      </c>
      <c r="C91" s="11">
        <f t="shared" si="3"/>
        <v>-257.18928282917477</v>
      </c>
    </row>
    <row r="92" spans="1:3">
      <c r="A92" s="8">
        <v>2026</v>
      </c>
      <c r="B92" s="19">
        <f t="shared" si="2"/>
        <v>166.37</v>
      </c>
      <c r="C92" s="11">
        <f t="shared" si="3"/>
        <v>-266.6687640541885</v>
      </c>
    </row>
    <row r="93" spans="1:3">
      <c r="A93" s="8">
        <v>2027</v>
      </c>
      <c r="B93" s="19">
        <f t="shared" si="2"/>
        <v>157.73995780176483</v>
      </c>
      <c r="C93" s="11">
        <f t="shared" si="3"/>
        <v>-275.29880625242367</v>
      </c>
    </row>
    <row r="94" spans="1:3">
      <c r="A94" s="8">
        <v>2028</v>
      </c>
      <c r="B94" s="19">
        <f t="shared" si="2"/>
        <v>149.96</v>
      </c>
      <c r="C94" s="11">
        <f t="shared" si="3"/>
        <v>-283.07876405418847</v>
      </c>
    </row>
    <row r="95" spans="1:3">
      <c r="A95" s="8">
        <v>2029</v>
      </c>
      <c r="B95" s="19">
        <f t="shared" si="2"/>
        <v>143.4380534265656</v>
      </c>
      <c r="C95" s="11">
        <f t="shared" si="3"/>
        <v>-289.6007106276229</v>
      </c>
    </row>
    <row r="96" spans="1:3">
      <c r="A96" s="8">
        <v>2030</v>
      </c>
      <c r="B96" s="19">
        <f t="shared" si="2"/>
        <v>137.68</v>
      </c>
      <c r="C96" s="11">
        <f t="shared" si="3"/>
        <v>-295.3587640541885</v>
      </c>
    </row>
    <row r="97" spans="1:3">
      <c r="A97" s="8">
        <v>2031</v>
      </c>
      <c r="B97" s="19">
        <f>B33</f>
        <v>135.565</v>
      </c>
      <c r="C97" s="11">
        <f t="shared" si="3"/>
        <v>-297.47376405418851</v>
      </c>
    </row>
    <row r="98" spans="1:3">
      <c r="A98" s="8">
        <v>2032</v>
      </c>
      <c r="B98" s="19">
        <f t="shared" si="2"/>
        <v>133.44999999999999</v>
      </c>
      <c r="C98" s="11">
        <f t="shared" si="3"/>
        <v>-299.58876405418852</v>
      </c>
    </row>
    <row r="99" spans="1:3">
      <c r="A99" s="8">
        <v>2033</v>
      </c>
      <c r="B99" s="19">
        <f t="shared" si="2"/>
        <v>131.91999999999999</v>
      </c>
      <c r="C99" s="11">
        <f t="shared" si="3"/>
        <v>-301.11876405418855</v>
      </c>
    </row>
    <row r="100" spans="1:3">
      <c r="A100" s="8">
        <v>2034</v>
      </c>
      <c r="B100" s="19">
        <f t="shared" si="2"/>
        <v>130.38999999999999</v>
      </c>
      <c r="C100" s="11">
        <f t="shared" si="3"/>
        <v>-302.64876405418852</v>
      </c>
    </row>
    <row r="101" spans="1:3">
      <c r="A101" s="8">
        <v>2035</v>
      </c>
      <c r="B101" s="19">
        <f t="shared" si="2"/>
        <v>129.16</v>
      </c>
      <c r="C101" s="11">
        <f t="shared" si="3"/>
        <v>-303.87876405418854</v>
      </c>
    </row>
    <row r="102" spans="1:3">
      <c r="A102" s="8">
        <v>2036</v>
      </c>
      <c r="B102" s="19">
        <f t="shared" si="2"/>
        <v>127.93</v>
      </c>
      <c r="C102" s="11">
        <f t="shared" si="3"/>
        <v>-305.1087640541885</v>
      </c>
    </row>
    <row r="103" spans="1:3">
      <c r="A103" s="8">
        <v>2037</v>
      </c>
      <c r="B103" s="19">
        <f t="shared" si="2"/>
        <v>126.855</v>
      </c>
      <c r="C103" s="11">
        <f t="shared" si="3"/>
        <v>-306.18376405418849</v>
      </c>
    </row>
    <row r="104" spans="1:3">
      <c r="A104" s="8">
        <v>2038</v>
      </c>
      <c r="B104" s="19">
        <f t="shared" si="2"/>
        <v>125.78</v>
      </c>
      <c r="C104" s="11">
        <f t="shared" si="3"/>
        <v>-307.25876405418853</v>
      </c>
    </row>
    <row r="105" spans="1:3">
      <c r="A105" s="8">
        <v>2039</v>
      </c>
      <c r="B105" s="19">
        <f t="shared" si="2"/>
        <v>124.77000000000001</v>
      </c>
      <c r="C105" s="11">
        <f t="shared" si="3"/>
        <v>-308.26876405418852</v>
      </c>
    </row>
    <row r="106" spans="1:3">
      <c r="A106" s="8">
        <v>2040</v>
      </c>
      <c r="B106" s="19">
        <f t="shared" si="2"/>
        <v>123.76</v>
      </c>
      <c r="C106" s="11">
        <f t="shared" si="3"/>
        <v>-309.27876405418851</v>
      </c>
    </row>
    <row r="107" spans="1:3">
      <c r="A107" s="8">
        <v>2041</v>
      </c>
      <c r="B107" s="19">
        <f t="shared" si="2"/>
        <v>122.68</v>
      </c>
      <c r="C107" s="11">
        <f t="shared" si="3"/>
        <v>-310.3587640541885</v>
      </c>
    </row>
    <row r="108" spans="1:3">
      <c r="A108" s="8">
        <v>2042</v>
      </c>
      <c r="B108" s="19">
        <f t="shared" si="2"/>
        <v>121.6</v>
      </c>
      <c r="C108" s="11">
        <f t="shared" si="3"/>
        <v>-311.43876405418848</v>
      </c>
    </row>
    <row r="109" spans="1:3">
      <c r="A109" s="8">
        <v>2043</v>
      </c>
      <c r="B109" s="19">
        <f t="shared" si="2"/>
        <v>120.55</v>
      </c>
      <c r="C109" s="11">
        <f t="shared" si="3"/>
        <v>-312.48876405418849</v>
      </c>
    </row>
    <row r="110" spans="1:3">
      <c r="A110" s="8">
        <v>2044</v>
      </c>
      <c r="B110" s="19">
        <f t="shared" si="2"/>
        <v>119.5</v>
      </c>
      <c r="C110" s="11">
        <f t="shared" si="3"/>
        <v>-313.5387640541885</v>
      </c>
    </row>
    <row r="111" spans="1:3">
      <c r="A111" s="8">
        <v>2045</v>
      </c>
      <c r="B111" s="19">
        <f t="shared" si="2"/>
        <v>118.49000000000001</v>
      </c>
      <c r="C111" s="11">
        <f t="shared" si="3"/>
        <v>-314.5487640541885</v>
      </c>
    </row>
    <row r="112" spans="1:3">
      <c r="A112" s="8">
        <v>2046</v>
      </c>
      <c r="B112" s="19">
        <f t="shared" si="2"/>
        <v>117.48</v>
      </c>
      <c r="C112" s="11">
        <f t="shared" si="3"/>
        <v>-315.55876405418849</v>
      </c>
    </row>
    <row r="113" spans="1:3">
      <c r="A113" s="8">
        <v>2047</v>
      </c>
      <c r="B113" s="19">
        <f t="shared" si="2"/>
        <v>116.495</v>
      </c>
      <c r="C113" s="11">
        <f t="shared" si="3"/>
        <v>-316.5437640541885</v>
      </c>
    </row>
    <row r="114" spans="1:3">
      <c r="A114" s="8">
        <v>2048</v>
      </c>
      <c r="B114" s="19">
        <f t="shared" si="2"/>
        <v>115.51</v>
      </c>
      <c r="C114" s="11">
        <f t="shared" si="3"/>
        <v>-317.52876405418851</v>
      </c>
    </row>
    <row r="115" spans="1:3">
      <c r="A115" s="8">
        <v>2049</v>
      </c>
      <c r="B115" s="19">
        <f t="shared" si="2"/>
        <v>114.56</v>
      </c>
      <c r="C115" s="11">
        <f t="shared" si="3"/>
        <v>-318.4787640541885</v>
      </c>
    </row>
    <row r="116" spans="1:3">
      <c r="A116" s="8">
        <v>2050</v>
      </c>
      <c r="B116" s="19">
        <f t="shared" si="2"/>
        <v>113.61</v>
      </c>
      <c r="C116" s="11">
        <f t="shared" si="3"/>
        <v>-319.42876405418849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F15" sqref="F15:F51"/>
    </sheetView>
  </sheetViews>
  <sheetFormatPr defaultColWidth="9.1328125" defaultRowHeight="14.25"/>
  <cols>
    <col min="1" max="1" width="13.86328125" style="15" customWidth="1"/>
    <col min="2" max="3" width="21.3984375" style="15" customWidth="1"/>
    <col min="4" max="4" width="21.1328125" style="15" bestFit="1" customWidth="1"/>
    <col min="5" max="6" width="17.3984375" style="15" customWidth="1"/>
    <col min="7" max="16384" width="9.1328125" style="15"/>
  </cols>
  <sheetData>
    <row r="1" spans="1:7">
      <c r="A1" s="33" t="s">
        <v>55</v>
      </c>
    </row>
    <row r="3" spans="1:7">
      <c r="A3" s="23" t="s">
        <v>18</v>
      </c>
      <c r="B3" s="23"/>
      <c r="C3" s="23"/>
      <c r="D3" s="23"/>
      <c r="E3" s="23"/>
      <c r="F3" s="23"/>
      <c r="G3" s="23"/>
    </row>
    <row r="4" spans="1:7">
      <c r="A4" s="23" t="s">
        <v>19</v>
      </c>
      <c r="B4" s="23"/>
      <c r="C4" s="23"/>
      <c r="D4" s="23"/>
      <c r="E4" s="23"/>
      <c r="F4" s="23"/>
      <c r="G4" s="23"/>
    </row>
    <row r="5" spans="1:7">
      <c r="A5" s="23" t="s">
        <v>20</v>
      </c>
      <c r="B5" s="23"/>
      <c r="C5" s="23"/>
      <c r="D5" s="23"/>
      <c r="E5" s="23"/>
      <c r="F5" s="23"/>
      <c r="G5" s="23"/>
    </row>
    <row r="6" spans="1:7">
      <c r="A6" s="23" t="s">
        <v>21</v>
      </c>
      <c r="B6" s="23"/>
      <c r="C6" s="23"/>
      <c r="D6" s="23"/>
      <c r="E6" s="23"/>
      <c r="F6" s="23"/>
      <c r="G6" s="23"/>
    </row>
    <row r="7" spans="1:7">
      <c r="A7" s="23" t="s">
        <v>41</v>
      </c>
      <c r="B7" s="23"/>
      <c r="C7" s="23"/>
      <c r="D7" s="23"/>
      <c r="E7" s="23"/>
      <c r="F7" s="23"/>
      <c r="G7" s="23"/>
    </row>
    <row r="8" spans="1:7">
      <c r="A8" s="23" t="s">
        <v>37</v>
      </c>
      <c r="B8" s="23"/>
      <c r="C8" s="23"/>
      <c r="D8" s="23"/>
      <c r="E8" s="23"/>
      <c r="F8" s="23"/>
      <c r="G8" s="23"/>
    </row>
    <row r="9" spans="1:7">
      <c r="A9" s="23" t="s">
        <v>38</v>
      </c>
      <c r="B9" s="23"/>
      <c r="C9" s="23"/>
      <c r="D9" s="23"/>
      <c r="E9" s="23"/>
      <c r="F9" s="23"/>
      <c r="G9" s="23"/>
    </row>
    <row r="10" spans="1:7">
      <c r="A10" s="23" t="s">
        <v>39</v>
      </c>
      <c r="B10" s="23"/>
      <c r="C10" s="23"/>
      <c r="D10" s="23"/>
      <c r="E10" s="23"/>
      <c r="F10" s="23"/>
      <c r="G10" s="23"/>
    </row>
    <row r="11" spans="1:7">
      <c r="A11" s="23"/>
      <c r="B11" s="23"/>
      <c r="C11" s="23"/>
      <c r="D11" s="23"/>
      <c r="E11" s="23"/>
      <c r="F11" s="23"/>
      <c r="G11" s="23"/>
    </row>
    <row r="12" spans="1:7">
      <c r="A12" s="24" t="s">
        <v>5</v>
      </c>
      <c r="B12" s="25"/>
      <c r="C12" s="25"/>
      <c r="D12" s="25"/>
      <c r="E12" s="23"/>
      <c r="F12" s="23"/>
      <c r="G12" s="23"/>
    </row>
    <row r="13" spans="1:7">
      <c r="A13" s="23"/>
      <c r="B13" s="75" t="s">
        <v>30</v>
      </c>
      <c r="C13" s="75"/>
      <c r="D13" s="75"/>
      <c r="E13" s="75"/>
      <c r="F13" s="75" t="s">
        <v>48</v>
      </c>
      <c r="G13" s="75"/>
    </row>
    <row r="14" spans="1:7">
      <c r="A14" s="23"/>
      <c r="B14" s="23" t="s">
        <v>46</v>
      </c>
      <c r="C14" s="23" t="s">
        <v>50</v>
      </c>
      <c r="D14" s="23" t="s">
        <v>51</v>
      </c>
      <c r="E14" s="23" t="s">
        <v>47</v>
      </c>
      <c r="F14" s="23" t="s">
        <v>46</v>
      </c>
      <c r="G14" s="23" t="s">
        <v>49</v>
      </c>
    </row>
    <row r="15" spans="1:7">
      <c r="A15" s="26">
        <v>2014</v>
      </c>
      <c r="B15" s="27">
        <f>Calculations!B80</f>
        <v>343.51305053569376</v>
      </c>
      <c r="C15" s="23"/>
      <c r="D15" s="23"/>
      <c r="E15" s="28">
        <f t="shared" ref="E15:E17" si="0">(E16-E20)/5+E16</f>
        <v>0.77362645687536313</v>
      </c>
      <c r="F15" s="27">
        <f>Calculations!C80</f>
        <v>-89.52571351849474</v>
      </c>
      <c r="G15" s="29">
        <f t="shared" ref="G15:G18" si="1">F15*E15</f>
        <v>-69.259460548551885</v>
      </c>
    </row>
    <row r="16" spans="1:7">
      <c r="A16" s="30">
        <v>2015</v>
      </c>
      <c r="B16" s="27">
        <f>Calculations!B81</f>
        <v>323.51138406107202</v>
      </c>
      <c r="C16" s="23"/>
      <c r="D16" s="23"/>
      <c r="E16" s="28">
        <f t="shared" si="0"/>
        <v>0.75373759430520626</v>
      </c>
      <c r="F16" s="27">
        <f>Calculations!C81</f>
        <v>-109.52737999311648</v>
      </c>
      <c r="G16" s="29">
        <f t="shared" si="1"/>
        <v>-82.554903906563794</v>
      </c>
    </row>
    <row r="17" spans="1:8">
      <c r="A17" s="26">
        <v>2016</v>
      </c>
      <c r="B17" s="27">
        <f>Calculations!B82</f>
        <v>304.46162234828807</v>
      </c>
      <c r="C17" s="23"/>
      <c r="D17" s="23"/>
      <c r="E17" s="28">
        <f t="shared" si="0"/>
        <v>0.73053582357132651</v>
      </c>
      <c r="F17" s="27">
        <f>Calculations!C82</f>
        <v>-128.57714170590043</v>
      </c>
      <c r="G17" s="29">
        <f t="shared" si="1"/>
        <v>-93.930208108567129</v>
      </c>
    </row>
    <row r="18" spans="1:8">
      <c r="A18" s="30">
        <v>2017</v>
      </c>
      <c r="B18" s="27">
        <f>Calculations!B83</f>
        <v>286.36376539757475</v>
      </c>
      <c r="C18" s="23"/>
      <c r="D18" s="23"/>
      <c r="E18" s="28">
        <f>(E19-E23)/5+E19</f>
        <v>0.70891085643770357</v>
      </c>
      <c r="F18" s="27">
        <f>Calculations!C83</f>
        <v>-146.67499865661375</v>
      </c>
      <c r="G18" s="29">
        <f t="shared" si="1"/>
        <v>-103.97949891565908</v>
      </c>
    </row>
    <row r="19" spans="1:8">
      <c r="A19" s="26">
        <v>2018</v>
      </c>
      <c r="B19" s="27">
        <f>Calculations!B84</f>
        <v>269.83</v>
      </c>
      <c r="C19" s="31">
        <f>'Texas Notes'!B9</f>
        <v>204.1</v>
      </c>
      <c r="D19" s="27">
        <f>C19*0.91</f>
        <v>185.73099999999999</v>
      </c>
      <c r="E19" s="28">
        <f>D19/B19</f>
        <v>0.68832598302634995</v>
      </c>
      <c r="F19" s="27">
        <f>Calculations!C84</f>
        <v>-163.20876405418852</v>
      </c>
      <c r="G19" s="29">
        <f>F19*E19</f>
        <v>-112.34083295611492</v>
      </c>
    </row>
    <row r="20" spans="1:8">
      <c r="A20" s="30">
        <v>2019</v>
      </c>
      <c r="B20" s="27">
        <f>Calculations!B85</f>
        <v>253.02376578282565</v>
      </c>
      <c r="C20" s="32">
        <f>AVERAGE(C19,C21)</f>
        <v>181.92500000000001</v>
      </c>
      <c r="D20" s="27">
        <f t="shared" ref="D20:D51" si="2">C20*0.91</f>
        <v>165.55175000000003</v>
      </c>
      <c r="E20" s="28">
        <f t="shared" ref="E20:E51" si="3">D20/B20</f>
        <v>0.65429328145442178</v>
      </c>
      <c r="F20" s="27">
        <f>Calculations!C85</f>
        <v>-180.01499827136286</v>
      </c>
      <c r="G20" s="29">
        <f t="shared" ref="G20:G51" si="4">F20*E20</f>
        <v>-117.78260392998207</v>
      </c>
    </row>
    <row r="21" spans="1:8">
      <c r="A21" s="26">
        <v>2020</v>
      </c>
      <c r="B21" s="27">
        <f>Calculations!B86</f>
        <v>236.56</v>
      </c>
      <c r="C21" s="31">
        <f>'Texas Notes'!B10</f>
        <v>159.75</v>
      </c>
      <c r="D21" s="27">
        <f t="shared" si="2"/>
        <v>145.3725</v>
      </c>
      <c r="E21" s="28">
        <f t="shared" si="3"/>
        <v>0.61452696990192768</v>
      </c>
      <c r="F21" s="27">
        <f>Calculations!C86</f>
        <v>-196.4787640541885</v>
      </c>
      <c r="G21" s="29">
        <f t="shared" si="4"/>
        <v>-120.74149952429624</v>
      </c>
    </row>
    <row r="22" spans="1:8">
      <c r="A22" s="30">
        <v>2021</v>
      </c>
      <c r="B22" s="27">
        <f>Calculations!B87</f>
        <v>223.49138521566056</v>
      </c>
      <c r="C22" s="32">
        <f>C21*0.8+C26*0.2</f>
        <v>147.55000000000001</v>
      </c>
      <c r="D22" s="27">
        <f t="shared" si="2"/>
        <v>134.27050000000003</v>
      </c>
      <c r="E22" s="28">
        <f t="shared" si="3"/>
        <v>0.60078602076958887</v>
      </c>
      <c r="F22" s="27">
        <f>Calculations!C87</f>
        <v>-209.54737883852795</v>
      </c>
      <c r="G22" s="29">
        <f t="shared" si="4"/>
        <v>-125.89313589509676</v>
      </c>
    </row>
    <row r="23" spans="1:8">
      <c r="A23" s="26">
        <v>2022</v>
      </c>
      <c r="B23" s="27">
        <f>Calculations!B88</f>
        <v>210.4</v>
      </c>
      <c r="C23" s="32">
        <f>C21*0.6+C26*0.4</f>
        <v>135.35</v>
      </c>
      <c r="D23" s="27">
        <f t="shared" si="2"/>
        <v>123.16849999999999</v>
      </c>
      <c r="E23" s="28">
        <f t="shared" si="3"/>
        <v>0.58540161596958173</v>
      </c>
      <c r="F23" s="27">
        <f>Calculations!C88</f>
        <v>-222.6387640541885</v>
      </c>
      <c r="G23" s="29">
        <f t="shared" si="4"/>
        <v>-130.33309225479238</v>
      </c>
    </row>
    <row r="24" spans="1:8">
      <c r="A24" s="30">
        <v>2023</v>
      </c>
      <c r="B24" s="27">
        <f>Calculations!B89</f>
        <v>197.76662369631231</v>
      </c>
      <c r="C24" s="32">
        <f>C21*0.4+C26*0.6</f>
        <v>123.15</v>
      </c>
      <c r="D24" s="27">
        <f t="shared" si="2"/>
        <v>112.0665</v>
      </c>
      <c r="E24" s="28">
        <f t="shared" si="3"/>
        <v>0.56666032875237715</v>
      </c>
      <c r="F24" s="27">
        <f>Calculations!C89</f>
        <v>-235.2721403578762</v>
      </c>
      <c r="G24" s="29">
        <f t="shared" si="4"/>
        <v>-133.31938840146955</v>
      </c>
    </row>
    <row r="25" spans="1:8">
      <c r="A25" s="26">
        <v>2024</v>
      </c>
      <c r="B25" s="27">
        <f>Calculations!B90</f>
        <v>186.83</v>
      </c>
      <c r="C25" s="32">
        <f>C21*0.2+C26*0.8</f>
        <v>110.95</v>
      </c>
      <c r="D25" s="27">
        <f t="shared" si="2"/>
        <v>100.9645</v>
      </c>
      <c r="E25" s="28">
        <f t="shared" si="3"/>
        <v>0.5404083926564256</v>
      </c>
      <c r="F25" s="27">
        <f>Calculations!C90</f>
        <v>-246.20876405418849</v>
      </c>
      <c r="G25" s="29">
        <f t="shared" si="4"/>
        <v>-133.05328244044915</v>
      </c>
    </row>
    <row r="26" spans="1:8">
      <c r="A26" s="30">
        <v>2025</v>
      </c>
      <c r="B26" s="27">
        <f>Calculations!B91</f>
        <v>175.84948122501373</v>
      </c>
      <c r="C26" s="31">
        <f>'Texas Notes'!B11</f>
        <v>98.75</v>
      </c>
      <c r="D26" s="27">
        <f t="shared" si="2"/>
        <v>89.862499999999997</v>
      </c>
      <c r="E26" s="28">
        <f t="shared" si="3"/>
        <v>0.51101942055213467</v>
      </c>
      <c r="F26" s="27">
        <f>Calculations!C91</f>
        <v>-257.18928282917477</v>
      </c>
      <c r="G26" s="29">
        <f t="shared" si="4"/>
        <v>-131.42871828358398</v>
      </c>
    </row>
    <row r="27" spans="1:8">
      <c r="A27" s="26">
        <v>2026</v>
      </c>
      <c r="B27" s="27">
        <f>Calculations!B92</f>
        <v>166.37</v>
      </c>
      <c r="C27" s="32">
        <f>C26*0.8+C31*0.2</f>
        <v>92.36</v>
      </c>
      <c r="D27" s="27">
        <f t="shared" si="2"/>
        <v>84.047600000000003</v>
      </c>
      <c r="E27" s="28">
        <f t="shared" si="3"/>
        <v>0.50518482899561223</v>
      </c>
      <c r="F27" s="27">
        <f>Calculations!C92</f>
        <v>-266.6687640541885</v>
      </c>
      <c r="G27" s="29">
        <f t="shared" si="4"/>
        <v>-134.71701396718649</v>
      </c>
    </row>
    <row r="28" spans="1:8">
      <c r="A28" s="30">
        <v>2027</v>
      </c>
      <c r="B28" s="27">
        <f>Calculations!B93</f>
        <v>157.73995780176483</v>
      </c>
      <c r="C28" s="32">
        <f>C26*0.6+C31*0.4</f>
        <v>85.97</v>
      </c>
      <c r="D28" s="27">
        <f t="shared" si="2"/>
        <v>78.232700000000008</v>
      </c>
      <c r="E28" s="28">
        <f t="shared" si="3"/>
        <v>0.49595993995583992</v>
      </c>
      <c r="F28" s="27">
        <f>Calculations!C93</f>
        <v>-275.29880625242367</v>
      </c>
      <c r="G28" s="29">
        <f t="shared" si="4"/>
        <v>-136.53717941886646</v>
      </c>
    </row>
    <row r="29" spans="1:8">
      <c r="A29" s="26">
        <v>2028</v>
      </c>
      <c r="B29" s="27">
        <f>Calculations!B94</f>
        <v>149.96</v>
      </c>
      <c r="C29" s="32">
        <f>C26*0.4+C31*0.6</f>
        <v>79.58</v>
      </c>
      <c r="D29" s="27">
        <f t="shared" si="2"/>
        <v>72.4178</v>
      </c>
      <c r="E29" s="28">
        <f t="shared" si="3"/>
        <v>0.48291411042944782</v>
      </c>
      <c r="F29" s="27">
        <f>Calculations!C94</f>
        <v>-283.07876405418847</v>
      </c>
      <c r="G29" s="29">
        <f t="shared" si="4"/>
        <v>-136.70272952469597</v>
      </c>
    </row>
    <row r="30" spans="1:8">
      <c r="A30" s="30">
        <v>2029</v>
      </c>
      <c r="B30" s="27">
        <f>Calculations!B95</f>
        <v>143.4380534265656</v>
      </c>
      <c r="C30" s="32">
        <f>C26*0.2+C31*0.8</f>
        <v>73.19</v>
      </c>
      <c r="D30" s="27">
        <f t="shared" si="2"/>
        <v>66.602900000000005</v>
      </c>
      <c r="E30" s="28">
        <f t="shared" si="3"/>
        <v>0.46433215181700688</v>
      </c>
      <c r="F30" s="27">
        <f>Calculations!C95</f>
        <v>-289.6007106276229</v>
      </c>
      <c r="G30" s="29">
        <f t="shared" si="4"/>
        <v>-134.47092113345846</v>
      </c>
    </row>
    <row r="31" spans="1:8">
      <c r="A31" s="26">
        <v>2030</v>
      </c>
      <c r="B31" s="27">
        <f>Calculations!B96</f>
        <v>137.68</v>
      </c>
      <c r="C31" s="31">
        <f>'Texas Notes'!B12</f>
        <v>66.8</v>
      </c>
      <c r="D31" s="27">
        <f t="shared" si="2"/>
        <v>60.787999999999997</v>
      </c>
      <c r="E31" s="28">
        <f t="shared" si="3"/>
        <v>0.44151656013945378</v>
      </c>
      <c r="F31" s="27">
        <f>Calculations!C96</f>
        <v>-295.3587640541885</v>
      </c>
      <c r="G31" s="29">
        <f t="shared" si="4"/>
        <v>-130.40578551224587</v>
      </c>
    </row>
    <row r="32" spans="1:8">
      <c r="A32" s="26">
        <v>2031</v>
      </c>
      <c r="B32" s="27">
        <f>Calculations!B97</f>
        <v>135.565</v>
      </c>
      <c r="C32" s="32">
        <f>C31*0.8+C36*0.2</f>
        <v>65.494</v>
      </c>
      <c r="D32" s="27">
        <f t="shared" si="2"/>
        <v>59.599540000000005</v>
      </c>
      <c r="E32" s="28">
        <f t="shared" si="3"/>
        <v>0.43963810718105711</v>
      </c>
      <c r="F32" s="27">
        <f>Calculations!C97</f>
        <v>-297.47376405418851</v>
      </c>
      <c r="G32" s="29">
        <f t="shared" si="4"/>
        <v>-130.78080256480783</v>
      </c>
      <c r="H32" s="16"/>
    </row>
    <row r="33" spans="1:8">
      <c r="A33" s="30">
        <v>2032</v>
      </c>
      <c r="B33" s="27">
        <f>Calculations!B98</f>
        <v>133.44999999999999</v>
      </c>
      <c r="C33" s="32">
        <f>C31*0.6+C36*0.4</f>
        <v>64.188000000000002</v>
      </c>
      <c r="D33" s="27">
        <f t="shared" si="2"/>
        <v>58.411080000000005</v>
      </c>
      <c r="E33" s="28">
        <f t="shared" si="3"/>
        <v>0.43770011240164863</v>
      </c>
      <c r="F33" s="27">
        <f>Calculations!C98</f>
        <v>-299.58876405418852</v>
      </c>
      <c r="G33" s="29">
        <f t="shared" si="4"/>
        <v>-131.13003570078931</v>
      </c>
      <c r="H33" s="18"/>
    </row>
    <row r="34" spans="1:8">
      <c r="A34" s="26">
        <v>2033</v>
      </c>
      <c r="B34" s="27">
        <f>Calculations!B99</f>
        <v>131.91999999999999</v>
      </c>
      <c r="C34" s="32">
        <f>C31*0.4+C36*0.6</f>
        <v>62.881999999999998</v>
      </c>
      <c r="D34" s="27">
        <f t="shared" si="2"/>
        <v>57.222619999999999</v>
      </c>
      <c r="E34" s="28">
        <f t="shared" si="3"/>
        <v>0.43376758641600976</v>
      </c>
      <c r="F34" s="27">
        <f>Calculations!C99</f>
        <v>-301.11876405418855</v>
      </c>
      <c r="G34" s="29">
        <f t="shared" si="4"/>
        <v>-130.61555950835728</v>
      </c>
    </row>
    <row r="35" spans="1:8">
      <c r="A35" s="30">
        <v>2034</v>
      </c>
      <c r="B35" s="27">
        <f>Calculations!B100</f>
        <v>130.38999999999999</v>
      </c>
      <c r="C35" s="32">
        <f>C31*0.2+C36*0.8</f>
        <v>61.576000000000008</v>
      </c>
      <c r="D35" s="27">
        <f t="shared" si="2"/>
        <v>56.034160000000007</v>
      </c>
      <c r="E35" s="28">
        <f t="shared" si="3"/>
        <v>0.42974277168494529</v>
      </c>
      <c r="F35" s="27">
        <f>Calculations!C100</f>
        <v>-302.64876405418852</v>
      </c>
      <c r="G35" s="29">
        <f t="shared" si="4"/>
        <v>-130.06111871167002</v>
      </c>
    </row>
    <row r="36" spans="1:8">
      <c r="A36" s="26">
        <v>2035</v>
      </c>
      <c r="B36" s="27">
        <f>Calculations!B101</f>
        <v>129.16</v>
      </c>
      <c r="C36" s="31">
        <f>'Texas Notes'!B13</f>
        <v>60.27</v>
      </c>
      <c r="D36" s="27">
        <f t="shared" si="2"/>
        <v>54.845700000000008</v>
      </c>
      <c r="E36" s="28">
        <f t="shared" si="3"/>
        <v>0.42463378755032527</v>
      </c>
      <c r="F36" s="27">
        <f>Calculations!C101</f>
        <v>-303.87876405418854</v>
      </c>
      <c r="G36" s="29">
        <f t="shared" si="4"/>
        <v>-129.03719053644173</v>
      </c>
    </row>
    <row r="37" spans="1:8">
      <c r="A37" s="30">
        <v>2036</v>
      </c>
      <c r="B37" s="27">
        <f>Calculations!B102</f>
        <v>127.93</v>
      </c>
      <c r="C37" s="32">
        <f>C36*0.8+C41*0.2</f>
        <v>58.96200000000001</v>
      </c>
      <c r="D37" s="27">
        <f t="shared" si="2"/>
        <v>53.655420000000014</v>
      </c>
      <c r="E37" s="28">
        <f t="shared" si="3"/>
        <v>0.41941233487063245</v>
      </c>
      <c r="F37" s="27">
        <f>Calculations!C102</f>
        <v>-305.1087640541885</v>
      </c>
      <c r="G37" s="29">
        <f t="shared" si="4"/>
        <v>-127.96637912146009</v>
      </c>
    </row>
    <row r="38" spans="1:8">
      <c r="A38" s="26">
        <v>2037</v>
      </c>
      <c r="B38" s="27">
        <f>Calculations!B103</f>
        <v>126.855</v>
      </c>
      <c r="C38" s="32">
        <f>C36*0.6+C41*0.4</f>
        <v>57.653999999999996</v>
      </c>
      <c r="D38" s="27">
        <f t="shared" si="2"/>
        <v>52.465139999999998</v>
      </c>
      <c r="E38" s="28">
        <f t="shared" si="3"/>
        <v>0.41358354026250438</v>
      </c>
      <c r="F38" s="27">
        <f>Calculations!C103</f>
        <v>-306.18376405418849</v>
      </c>
      <c r="G38" s="29">
        <f t="shared" si="4"/>
        <v>-126.63256510843061</v>
      </c>
    </row>
    <row r="39" spans="1:8">
      <c r="A39" s="26">
        <v>2038</v>
      </c>
      <c r="B39" s="27">
        <f>Calculations!B104</f>
        <v>125.78</v>
      </c>
      <c r="C39" s="32">
        <f>C36*0.4+C41*0.6</f>
        <v>56.346000000000004</v>
      </c>
      <c r="D39" s="27">
        <f t="shared" si="2"/>
        <v>51.274860000000004</v>
      </c>
      <c r="E39" s="28">
        <f t="shared" si="3"/>
        <v>0.40765511210049293</v>
      </c>
      <c r="F39" s="27">
        <f>Calculations!C104</f>
        <v>-307.25876405418853</v>
      </c>
      <c r="G39" s="29">
        <f t="shared" si="4"/>
        <v>-125.25560590436913</v>
      </c>
    </row>
    <row r="40" spans="1:8">
      <c r="A40" s="30">
        <v>2039</v>
      </c>
      <c r="B40" s="27">
        <f>Calculations!B105</f>
        <v>124.77000000000001</v>
      </c>
      <c r="C40" s="32">
        <f>C36*0.2+C41*0.8</f>
        <v>55.038000000000004</v>
      </c>
      <c r="D40" s="27">
        <f t="shared" si="2"/>
        <v>50.084580000000003</v>
      </c>
      <c r="E40" s="28">
        <f t="shared" si="3"/>
        <v>0.40141524404905021</v>
      </c>
      <c r="F40" s="27">
        <f>Calculations!C105</f>
        <v>-308.26876405418852</v>
      </c>
      <c r="G40" s="29">
        <f t="shared" si="4"/>
        <v>-123.74378115551116</v>
      </c>
    </row>
    <row r="41" spans="1:8">
      <c r="A41" s="26">
        <v>2040</v>
      </c>
      <c r="B41" s="27">
        <f>Calculations!B106</f>
        <v>123.76</v>
      </c>
      <c r="C41" s="31">
        <f>'Texas Notes'!B14</f>
        <v>53.73</v>
      </c>
      <c r="D41" s="27">
        <f t="shared" si="2"/>
        <v>48.894300000000001</v>
      </c>
      <c r="E41" s="28">
        <f t="shared" si="3"/>
        <v>0.39507352941176471</v>
      </c>
      <c r="F41" s="27">
        <f>Calculations!C106</f>
        <v>-309.27876405418851</v>
      </c>
      <c r="G41" s="29">
        <f t="shared" si="4"/>
        <v>-122.18785288699668</v>
      </c>
    </row>
    <row r="42" spans="1:8">
      <c r="A42" s="30">
        <v>2041</v>
      </c>
      <c r="B42" s="27">
        <f>Calculations!B107</f>
        <v>122.68</v>
      </c>
      <c r="C42" s="32">
        <f>C41*0.8+C46*0.2</f>
        <v>52.424000000000007</v>
      </c>
      <c r="D42" s="27">
        <f t="shared" si="2"/>
        <v>47.705840000000009</v>
      </c>
      <c r="E42" s="28">
        <f t="shared" si="3"/>
        <v>0.38886403651776985</v>
      </c>
      <c r="F42" s="27">
        <f>Calculations!C107</f>
        <v>-310.3587640541885</v>
      </c>
      <c r="G42" s="29">
        <f t="shared" si="4"/>
        <v>-120.68736175877787</v>
      </c>
    </row>
    <row r="43" spans="1:8">
      <c r="A43" s="26">
        <v>2042</v>
      </c>
      <c r="B43" s="27">
        <f>Calculations!B108</f>
        <v>121.6</v>
      </c>
      <c r="C43" s="32">
        <f>C41*0.6+C46*0.4</f>
        <v>51.118000000000002</v>
      </c>
      <c r="D43" s="27">
        <f t="shared" si="2"/>
        <v>46.517380000000003</v>
      </c>
      <c r="E43" s="28">
        <f t="shared" si="3"/>
        <v>0.3825442434210527</v>
      </c>
      <c r="F43" s="27">
        <f>Calculations!C108</f>
        <v>-311.43876405418848</v>
      </c>
      <c r="G43" s="29">
        <f t="shared" si="4"/>
        <v>-119.13910636709727</v>
      </c>
    </row>
    <row r="44" spans="1:8">
      <c r="A44" s="30">
        <v>2043</v>
      </c>
      <c r="B44" s="27">
        <f>Calculations!B109</f>
        <v>120.55</v>
      </c>
      <c r="C44" s="32">
        <f>C41*0.4+C46*0.6</f>
        <v>49.811999999999998</v>
      </c>
      <c r="D44" s="27">
        <f t="shared" si="2"/>
        <v>45.328919999999997</v>
      </c>
      <c r="E44" s="28">
        <f t="shared" si="3"/>
        <v>0.37601758606387387</v>
      </c>
      <c r="F44" s="27">
        <f>Calculations!C109</f>
        <v>-312.48876405418849</v>
      </c>
      <c r="G44" s="29">
        <f t="shared" si="4"/>
        <v>-117.5012707317394</v>
      </c>
    </row>
    <row r="45" spans="1:8">
      <c r="A45" s="26">
        <v>2044</v>
      </c>
      <c r="B45" s="27">
        <f>Calculations!B110</f>
        <v>119.5</v>
      </c>
      <c r="C45" s="32">
        <f>C41*0.2+C46*0.8</f>
        <v>48.506000000000007</v>
      </c>
      <c r="D45" s="27">
        <f t="shared" si="2"/>
        <v>44.140460000000012</v>
      </c>
      <c r="E45" s="28">
        <f t="shared" si="3"/>
        <v>0.36937623430962352</v>
      </c>
      <c r="F45" s="27">
        <f>Calculations!C110</f>
        <v>-313.5387640541885</v>
      </c>
      <c r="G45" s="29">
        <f t="shared" si="4"/>
        <v>-115.8137679764297</v>
      </c>
    </row>
    <row r="46" spans="1:8">
      <c r="A46" s="26">
        <v>2045</v>
      </c>
      <c r="B46" s="27">
        <f>Calculations!B111</f>
        <v>118.49000000000001</v>
      </c>
      <c r="C46" s="31">
        <f>'Texas Notes'!B15</f>
        <v>47.2</v>
      </c>
      <c r="D46" s="27">
        <f t="shared" si="2"/>
        <v>42.952000000000005</v>
      </c>
      <c r="E46" s="28">
        <f t="shared" si="3"/>
        <v>0.3624947252932737</v>
      </c>
      <c r="F46" s="27">
        <f>Calculations!C111</f>
        <v>-314.5487640541885</v>
      </c>
      <c r="G46" s="29">
        <f t="shared" si="4"/>
        <v>-114.02226781716182</v>
      </c>
    </row>
    <row r="47" spans="1:8">
      <c r="A47" s="30">
        <v>2046</v>
      </c>
      <c r="B47" s="27">
        <f>Calculations!B112</f>
        <v>117.48</v>
      </c>
      <c r="C47" s="32">
        <f>C46*0.8+C51*0.2</f>
        <v>45.892000000000003</v>
      </c>
      <c r="D47" s="27">
        <f t="shared" si="2"/>
        <v>41.761720000000004</v>
      </c>
      <c r="E47" s="28">
        <f t="shared" si="3"/>
        <v>0.3554794007490637</v>
      </c>
      <c r="F47" s="27">
        <f>Calculations!C112</f>
        <v>-315.55876405418849</v>
      </c>
      <c r="G47" s="29">
        <f t="shared" si="4"/>
        <v>-112.17464034709811</v>
      </c>
    </row>
    <row r="48" spans="1:8">
      <c r="A48" s="26">
        <v>2047</v>
      </c>
      <c r="B48" s="27">
        <f>Calculations!B113</f>
        <v>116.495</v>
      </c>
      <c r="C48" s="32">
        <f>C46*0.6+C51*0.4</f>
        <v>44.584000000000003</v>
      </c>
      <c r="D48" s="27">
        <f t="shared" si="2"/>
        <v>40.571440000000003</v>
      </c>
      <c r="E48" s="28">
        <f t="shared" si="3"/>
        <v>0.34826765097214474</v>
      </c>
      <c r="F48" s="27">
        <f>Calculations!C113</f>
        <v>-316.5437640541885</v>
      </c>
      <c r="G48" s="29">
        <f t="shared" si="4"/>
        <v>-110.24195313703305</v>
      </c>
    </row>
    <row r="49" spans="1:7">
      <c r="A49" s="30">
        <v>2048</v>
      </c>
      <c r="B49" s="27">
        <f>Calculations!B114</f>
        <v>115.51</v>
      </c>
      <c r="C49" s="32">
        <f>C46*0.4+C51*0.6</f>
        <v>43.275999999999996</v>
      </c>
      <c r="D49" s="27">
        <f t="shared" si="2"/>
        <v>39.381160000000001</v>
      </c>
      <c r="E49" s="28">
        <f t="shared" si="3"/>
        <v>0.34093290624188383</v>
      </c>
      <c r="F49" s="27">
        <f>Calculations!C114</f>
        <v>-317.52876405418851</v>
      </c>
      <c r="G49" s="29">
        <f t="shared" si="4"/>
        <v>-108.2560043443879</v>
      </c>
    </row>
    <row r="50" spans="1:7">
      <c r="A50" s="26">
        <v>2049</v>
      </c>
      <c r="B50" s="27">
        <f>Calculations!B115</f>
        <v>114.56</v>
      </c>
      <c r="C50" s="32">
        <f>C46*0.2+C51*0.8</f>
        <v>41.968000000000004</v>
      </c>
      <c r="D50" s="27">
        <f t="shared" si="2"/>
        <v>38.190880000000007</v>
      </c>
      <c r="E50" s="28">
        <f t="shared" si="3"/>
        <v>0.33337011173184361</v>
      </c>
      <c r="F50" s="27">
        <f>Calculations!C115</f>
        <v>-318.4787640541885</v>
      </c>
      <c r="G50" s="29">
        <f t="shared" si="4"/>
        <v>-106.17130115696428</v>
      </c>
    </row>
    <row r="51" spans="1:7">
      <c r="A51" s="30">
        <v>2050</v>
      </c>
      <c r="B51" s="27">
        <f>Calculations!B116</f>
        <v>113.61</v>
      </c>
      <c r="C51" s="31">
        <f>'Texas Notes'!B16</f>
        <v>40.659999999999997</v>
      </c>
      <c r="D51" s="27">
        <f t="shared" si="2"/>
        <v>37.000599999999999</v>
      </c>
      <c r="E51" s="28">
        <f t="shared" si="3"/>
        <v>0.32568083795440539</v>
      </c>
      <c r="F51" s="27">
        <f>Calculations!C116</f>
        <v>-319.42876405418849</v>
      </c>
      <c r="G51" s="29">
        <f t="shared" si="4"/>
        <v>-104.03182754390815</v>
      </c>
    </row>
    <row r="52" spans="1:7">
      <c r="A52" s="8"/>
      <c r="B52" s="19"/>
      <c r="C52" s="11"/>
    </row>
    <row r="53" spans="1:7">
      <c r="A53" s="8"/>
      <c r="B53" s="19"/>
      <c r="C53" s="11"/>
    </row>
    <row r="54" spans="1:7">
      <c r="A54" s="8"/>
      <c r="B54" s="19"/>
      <c r="C54" s="11"/>
    </row>
    <row r="55" spans="1:7">
      <c r="A55" s="8"/>
      <c r="B55" s="19"/>
      <c r="C55" s="11"/>
    </row>
    <row r="56" spans="1:7">
      <c r="A56" s="8"/>
      <c r="B56" s="19"/>
      <c r="C56" s="11"/>
    </row>
    <row r="57" spans="1:7">
      <c r="A57" s="8"/>
      <c r="B57" s="19"/>
      <c r="C57" s="11"/>
    </row>
    <row r="58" spans="1:7">
      <c r="A58" s="8"/>
      <c r="B58" s="19"/>
      <c r="C58" s="11"/>
    </row>
    <row r="59" spans="1:7">
      <c r="A59" s="8"/>
      <c r="B59" s="19"/>
      <c r="C59" s="11"/>
    </row>
    <row r="60" spans="1:7">
      <c r="A60" s="8"/>
      <c r="B60" s="19"/>
      <c r="C60" s="11"/>
    </row>
  </sheetData>
  <mergeCells count="2">
    <mergeCell ref="F13:G13"/>
    <mergeCell ref="B13:E1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XFD1048576"/>
    </sheetView>
  </sheetViews>
  <sheetFormatPr defaultColWidth="8.796875" defaultRowHeight="14.25"/>
  <cols>
    <col min="1" max="1" width="15" style="15" customWidth="1"/>
    <col min="2" max="2" width="47.6640625" style="15" customWidth="1"/>
    <col min="3" max="3" width="15.46484375" style="15" customWidth="1"/>
    <col min="4" max="4" width="21.1328125" style="15" customWidth="1"/>
    <col min="5" max="5" width="12.33203125" style="15" customWidth="1"/>
    <col min="6" max="6" width="39.796875" style="15" bestFit="1" customWidth="1"/>
    <col min="7" max="16384" width="8.796875" style="15"/>
  </cols>
  <sheetData>
    <row r="1" spans="1:6">
      <c r="A1" s="15" t="s">
        <v>59</v>
      </c>
    </row>
    <row r="2" spans="1:6">
      <c r="A2" s="15" t="s">
        <v>58</v>
      </c>
    </row>
    <row r="3" spans="1:6">
      <c r="A3" s="15" t="s">
        <v>52</v>
      </c>
    </row>
    <row r="4" spans="1:6">
      <c r="A4" s="15" t="s">
        <v>54</v>
      </c>
    </row>
    <row r="5" spans="1:6">
      <c r="A5" s="15" t="s">
        <v>53</v>
      </c>
    </row>
    <row r="8" spans="1:6" ht="14.65" thickBot="1">
      <c r="A8" s="20" t="s">
        <v>45</v>
      </c>
      <c r="B8" s="35" t="s">
        <v>56</v>
      </c>
      <c r="C8" s="15" t="s">
        <v>57</v>
      </c>
      <c r="D8" s="35" t="s">
        <v>61</v>
      </c>
      <c r="E8" s="15" t="s">
        <v>60</v>
      </c>
      <c r="F8" s="38" t="s">
        <v>62</v>
      </c>
    </row>
    <row r="9" spans="1:6" ht="14.65" thickTop="1">
      <c r="A9" s="21">
        <v>2018</v>
      </c>
      <c r="B9" s="36">
        <v>204.1</v>
      </c>
      <c r="C9" s="15">
        <f>B9*0.91</f>
        <v>185.73099999999999</v>
      </c>
      <c r="D9" s="36">
        <v>667.96899999999994</v>
      </c>
      <c r="E9" s="15">
        <f>D9*0.91</f>
        <v>607.85178999999994</v>
      </c>
      <c r="F9" s="39">
        <f>E9+2.4*C9</f>
        <v>1053.60619</v>
      </c>
    </row>
    <row r="10" spans="1:6">
      <c r="A10" s="21">
        <v>2020</v>
      </c>
      <c r="B10" s="36">
        <v>159.75</v>
      </c>
      <c r="C10" s="15">
        <f t="shared" ref="C10:C16" si="0">B10*0.91</f>
        <v>145.3725</v>
      </c>
      <c r="D10" s="36">
        <v>522.81799999999998</v>
      </c>
      <c r="E10" s="15">
        <f t="shared" ref="E10:E16" si="1">D10*0.91</f>
        <v>475.76438000000002</v>
      </c>
      <c r="F10" s="39">
        <f t="shared" ref="F10:F16" si="2">E10+2.4*C10</f>
        <v>824.65838000000008</v>
      </c>
    </row>
    <row r="11" spans="1:6">
      <c r="A11" s="21">
        <v>2025</v>
      </c>
      <c r="B11" s="36">
        <v>98.75</v>
      </c>
      <c r="C11" s="15">
        <f t="shared" si="0"/>
        <v>89.862499999999997</v>
      </c>
      <c r="D11" s="36">
        <v>323.197</v>
      </c>
      <c r="E11" s="15">
        <f t="shared" si="1"/>
        <v>294.10927000000004</v>
      </c>
      <c r="F11" s="39">
        <f t="shared" si="2"/>
        <v>509.77927</v>
      </c>
    </row>
    <row r="12" spans="1:6">
      <c r="A12" s="21">
        <v>2030</v>
      </c>
      <c r="B12" s="36">
        <v>66.8</v>
      </c>
      <c r="C12" s="15">
        <f t="shared" si="0"/>
        <v>60.787999999999997</v>
      </c>
      <c r="D12" s="36">
        <v>218.63300000000001</v>
      </c>
      <c r="E12" s="15">
        <f t="shared" si="1"/>
        <v>198.95603000000003</v>
      </c>
      <c r="F12" s="39">
        <f t="shared" si="2"/>
        <v>344.84723000000002</v>
      </c>
    </row>
    <row r="13" spans="1:6">
      <c r="A13" s="21">
        <v>2035</v>
      </c>
      <c r="B13" s="36">
        <v>60.27</v>
      </c>
      <c r="C13" s="15">
        <f t="shared" si="0"/>
        <v>54.845700000000008</v>
      </c>
      <c r="D13" s="36">
        <v>197.245</v>
      </c>
      <c r="E13" s="15">
        <f t="shared" si="1"/>
        <v>179.49295000000001</v>
      </c>
      <c r="F13" s="39">
        <f t="shared" si="2"/>
        <v>311.12263000000002</v>
      </c>
    </row>
    <row r="14" spans="1:6">
      <c r="A14" s="21">
        <v>2040</v>
      </c>
      <c r="B14" s="36">
        <v>53.73</v>
      </c>
      <c r="C14" s="15">
        <f t="shared" si="0"/>
        <v>48.894300000000001</v>
      </c>
      <c r="D14" s="36">
        <v>175.857</v>
      </c>
      <c r="E14" s="15">
        <f t="shared" si="1"/>
        <v>160.02987000000002</v>
      </c>
      <c r="F14" s="39">
        <f t="shared" si="2"/>
        <v>277.37619000000001</v>
      </c>
    </row>
    <row r="15" spans="1:6">
      <c r="A15" s="21">
        <v>2045</v>
      </c>
      <c r="B15" s="36">
        <v>47.2</v>
      </c>
      <c r="C15" s="15">
        <f t="shared" si="0"/>
        <v>42.952000000000005</v>
      </c>
      <c r="D15" s="36">
        <v>154.46899999999999</v>
      </c>
      <c r="E15" s="15">
        <f t="shared" si="1"/>
        <v>140.56679</v>
      </c>
      <c r="F15" s="39">
        <f t="shared" si="2"/>
        <v>243.65159</v>
      </c>
    </row>
    <row r="16" spans="1:6">
      <c r="A16" s="21">
        <v>2050</v>
      </c>
      <c r="B16" s="36">
        <v>40.659999999999997</v>
      </c>
      <c r="C16" s="15">
        <f t="shared" si="0"/>
        <v>37.000599999999999</v>
      </c>
      <c r="D16" s="37">
        <v>133.08099999999999</v>
      </c>
      <c r="E16" s="15">
        <f t="shared" si="1"/>
        <v>121.10370999999999</v>
      </c>
      <c r="F16" s="39">
        <f t="shared" si="2"/>
        <v>209.90514999999999</v>
      </c>
    </row>
    <row r="23" spans="1:3">
      <c r="C23" s="6"/>
    </row>
    <row r="24" spans="1:3">
      <c r="C24" s="6"/>
    </row>
    <row r="32" spans="1:3">
      <c r="A32" s="20"/>
      <c r="B32" s="20"/>
    </row>
    <row r="33" spans="1:4">
      <c r="A33" s="21"/>
      <c r="B33" s="22"/>
      <c r="C33" s="9"/>
    </row>
    <row r="34" spans="1:4">
      <c r="A34" s="21"/>
      <c r="B34" s="22"/>
      <c r="C34" s="9"/>
    </row>
    <row r="35" spans="1:4">
      <c r="A35" s="21"/>
      <c r="B35" s="22"/>
      <c r="C35" s="9"/>
    </row>
    <row r="36" spans="1:4">
      <c r="A36" s="21"/>
      <c r="B36" s="22"/>
      <c r="C36" s="9"/>
    </row>
    <row r="37" spans="1:4">
      <c r="A37" s="21"/>
      <c r="B37" s="22"/>
      <c r="C37" s="9"/>
    </row>
    <row r="38" spans="1:4">
      <c r="A38" s="21"/>
      <c r="B38" s="22"/>
      <c r="C38" s="9"/>
    </row>
    <row r="39" spans="1:4">
      <c r="A39" s="21"/>
      <c r="B39" s="22"/>
      <c r="C39" s="9"/>
    </row>
    <row r="40" spans="1:4">
      <c r="A40" s="21"/>
      <c r="B40" s="22"/>
      <c r="C40" s="9"/>
    </row>
    <row r="42" spans="1:4">
      <c r="A42" s="34"/>
      <c r="B42" s="34"/>
      <c r="C42" s="34"/>
      <c r="D42" s="34"/>
    </row>
    <row r="43" spans="1:4">
      <c r="A43" s="34"/>
      <c r="B43" s="34"/>
      <c r="C43" s="34"/>
      <c r="D43" s="34"/>
    </row>
    <row r="44" spans="1:4">
      <c r="A44" s="34"/>
      <c r="B44" s="34"/>
      <c r="C44" s="34"/>
      <c r="D44" s="34"/>
    </row>
    <row r="45" spans="1:4">
      <c r="A45" s="34"/>
      <c r="B45" s="34"/>
      <c r="C45" s="34"/>
      <c r="D45" s="34"/>
    </row>
    <row r="46" spans="1:4">
      <c r="A46" s="34"/>
      <c r="B46" s="34"/>
      <c r="C46" s="34"/>
      <c r="D46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19" workbookViewId="0">
      <selection activeCell="C37" sqref="C37"/>
    </sheetView>
  </sheetViews>
  <sheetFormatPr defaultColWidth="9.1328125" defaultRowHeight="14.25"/>
  <cols>
    <col min="1" max="1" width="32.59765625" style="42" customWidth="1"/>
    <col min="2" max="13" width="11.265625" style="42" customWidth="1"/>
    <col min="14" max="16384" width="9.1328125" style="42"/>
  </cols>
  <sheetData>
    <row r="1" spans="1:13">
      <c r="A1" s="40" t="s">
        <v>63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>
      <c r="A2" s="43"/>
      <c r="B2" s="76" t="s">
        <v>64</v>
      </c>
      <c r="C2" s="77"/>
      <c r="D2" s="78"/>
      <c r="E2" s="79" t="s">
        <v>65</v>
      </c>
      <c r="F2" s="80"/>
      <c r="G2" s="81"/>
      <c r="H2" s="79" t="s">
        <v>66</v>
      </c>
      <c r="I2" s="80"/>
      <c r="J2" s="81"/>
      <c r="K2" s="79" t="s">
        <v>67</v>
      </c>
      <c r="L2" s="80"/>
      <c r="M2" s="81"/>
    </row>
    <row r="3" spans="1:13">
      <c r="A3" s="44" t="s">
        <v>68</v>
      </c>
      <c r="B3" s="45" t="s">
        <v>69</v>
      </c>
      <c r="C3" s="46" t="s">
        <v>3</v>
      </c>
      <c r="D3" s="44" t="s">
        <v>70</v>
      </c>
      <c r="E3" s="47" t="s">
        <v>71</v>
      </c>
      <c r="F3" s="46" t="s">
        <v>3</v>
      </c>
      <c r="G3" s="44" t="s">
        <v>70</v>
      </c>
      <c r="H3" s="47" t="s">
        <v>71</v>
      </c>
      <c r="I3" s="46" t="s">
        <v>3</v>
      </c>
      <c r="J3" s="44" t="s">
        <v>70</v>
      </c>
      <c r="K3" s="47" t="s">
        <v>71</v>
      </c>
      <c r="L3" s="46" t="s">
        <v>3</v>
      </c>
      <c r="M3" s="44" t="s">
        <v>70</v>
      </c>
    </row>
    <row r="4" spans="1:13">
      <c r="A4" s="48" t="s">
        <v>72</v>
      </c>
      <c r="B4" s="49">
        <v>50160000</v>
      </c>
      <c r="C4" s="50">
        <v>209</v>
      </c>
      <c r="D4" s="51">
        <v>0.84</v>
      </c>
      <c r="E4" s="52">
        <v>25080000</v>
      </c>
      <c r="F4" s="50">
        <v>209</v>
      </c>
      <c r="G4" s="51">
        <v>0.42</v>
      </c>
      <c r="H4" s="52">
        <v>12540000</v>
      </c>
      <c r="I4" s="50">
        <v>209</v>
      </c>
      <c r="J4" s="51">
        <v>0.21</v>
      </c>
      <c r="K4" s="52">
        <v>6270000</v>
      </c>
      <c r="L4" s="50">
        <v>209</v>
      </c>
      <c r="M4" s="51">
        <v>0.1</v>
      </c>
    </row>
    <row r="5" spans="1:13">
      <c r="A5" s="48" t="s">
        <v>73</v>
      </c>
      <c r="B5" s="49">
        <v>4200000</v>
      </c>
      <c r="C5" s="50">
        <v>18</v>
      </c>
      <c r="D5" s="51">
        <v>7.0000000000000007E-2</v>
      </c>
      <c r="E5" s="52">
        <v>4200000</v>
      </c>
      <c r="F5" s="50">
        <v>35</v>
      </c>
      <c r="G5" s="51">
        <v>7.0000000000000007E-2</v>
      </c>
      <c r="H5" s="52">
        <v>4200000</v>
      </c>
      <c r="I5" s="50">
        <v>70</v>
      </c>
      <c r="J5" s="51">
        <v>7.0000000000000007E-2</v>
      </c>
      <c r="K5" s="52">
        <v>4200000</v>
      </c>
      <c r="L5" s="50">
        <v>140</v>
      </c>
      <c r="M5" s="51">
        <v>7.0000000000000007E-2</v>
      </c>
    </row>
    <row r="6" spans="1:13">
      <c r="A6" s="48" t="s">
        <v>74</v>
      </c>
      <c r="B6" s="49">
        <v>3121131</v>
      </c>
      <c r="C6" s="50">
        <v>13</v>
      </c>
      <c r="D6" s="51">
        <v>0.05</v>
      </c>
      <c r="E6" s="52">
        <v>1813452</v>
      </c>
      <c r="F6" s="50">
        <v>15</v>
      </c>
      <c r="G6" s="51">
        <v>0.03</v>
      </c>
      <c r="H6" s="52">
        <v>1159612</v>
      </c>
      <c r="I6" s="50">
        <v>19</v>
      </c>
      <c r="J6" s="51">
        <v>0.02</v>
      </c>
      <c r="K6" s="52">
        <v>832692</v>
      </c>
      <c r="L6" s="50">
        <v>28</v>
      </c>
      <c r="M6" s="51">
        <v>0.01</v>
      </c>
    </row>
    <row r="7" spans="1:13">
      <c r="A7" s="48" t="s">
        <v>75</v>
      </c>
      <c r="B7" s="49">
        <v>8602825</v>
      </c>
      <c r="C7" s="50">
        <v>36</v>
      </c>
      <c r="D7" s="51">
        <v>0.14000000000000001</v>
      </c>
      <c r="E7" s="52">
        <v>6119167</v>
      </c>
      <c r="F7" s="50">
        <v>51</v>
      </c>
      <c r="G7" s="51">
        <v>0.1</v>
      </c>
      <c r="H7" s="52">
        <v>4877337</v>
      </c>
      <c r="I7" s="50">
        <v>81</v>
      </c>
      <c r="J7" s="51">
        <v>0.08</v>
      </c>
      <c r="K7" s="52">
        <v>4256423</v>
      </c>
      <c r="L7" s="50">
        <v>142</v>
      </c>
      <c r="M7" s="51">
        <v>7.0000000000000007E-2</v>
      </c>
    </row>
    <row r="8" spans="1:13">
      <c r="A8" s="48" t="s">
        <v>76</v>
      </c>
      <c r="B8" s="49">
        <v>5479149</v>
      </c>
      <c r="C8" s="50">
        <v>23</v>
      </c>
      <c r="D8" s="51">
        <v>0.09</v>
      </c>
      <c r="E8" s="52">
        <v>4322275</v>
      </c>
      <c r="F8" s="50">
        <v>36</v>
      </c>
      <c r="G8" s="51">
        <v>7.0000000000000007E-2</v>
      </c>
      <c r="H8" s="52">
        <v>3743838</v>
      </c>
      <c r="I8" s="50">
        <v>62</v>
      </c>
      <c r="J8" s="51">
        <v>0.06</v>
      </c>
      <c r="K8" s="52">
        <v>3454619</v>
      </c>
      <c r="L8" s="50">
        <v>115</v>
      </c>
      <c r="M8" s="51">
        <v>0.06</v>
      </c>
    </row>
    <row r="9" spans="1:13">
      <c r="A9" s="48" t="s">
        <v>77</v>
      </c>
      <c r="B9" s="49">
        <v>2775545</v>
      </c>
      <c r="C9" s="50">
        <v>12</v>
      </c>
      <c r="D9" s="51">
        <v>0.05</v>
      </c>
      <c r="E9" s="52">
        <v>1948565</v>
      </c>
      <c r="F9" s="50">
        <v>16</v>
      </c>
      <c r="G9" s="51">
        <v>0.03</v>
      </c>
      <c r="H9" s="52">
        <v>1535075</v>
      </c>
      <c r="I9" s="50">
        <v>26</v>
      </c>
      <c r="J9" s="51">
        <v>0.03</v>
      </c>
      <c r="K9" s="52">
        <v>1328330</v>
      </c>
      <c r="L9" s="50">
        <v>44</v>
      </c>
      <c r="M9" s="51">
        <v>0.02</v>
      </c>
    </row>
    <row r="10" spans="1:13">
      <c r="A10" s="48" t="s">
        <v>78</v>
      </c>
      <c r="B10" s="49">
        <v>5293460</v>
      </c>
      <c r="C10" s="50">
        <v>22</v>
      </c>
      <c r="D10" s="51">
        <v>0.09</v>
      </c>
      <c r="E10" s="52">
        <v>3083292</v>
      </c>
      <c r="F10" s="50">
        <v>26</v>
      </c>
      <c r="G10" s="51">
        <v>0.05</v>
      </c>
      <c r="H10" s="52">
        <v>1978209</v>
      </c>
      <c r="I10" s="50">
        <v>33</v>
      </c>
      <c r="J10" s="51">
        <v>0.03</v>
      </c>
      <c r="K10" s="52">
        <v>1425667</v>
      </c>
      <c r="L10" s="50">
        <v>48</v>
      </c>
      <c r="M10" s="51">
        <v>0.02</v>
      </c>
    </row>
    <row r="11" spans="1:13">
      <c r="A11" s="53" t="s">
        <v>79</v>
      </c>
      <c r="B11" s="54">
        <v>79632110</v>
      </c>
      <c r="C11" s="55">
        <v>332</v>
      </c>
      <c r="D11" s="56">
        <v>1.33</v>
      </c>
      <c r="E11" s="57">
        <v>46566751</v>
      </c>
      <c r="F11" s="55">
        <v>388</v>
      </c>
      <c r="G11" s="56">
        <v>0.78</v>
      </c>
      <c r="H11" s="57">
        <v>30034071</v>
      </c>
      <c r="I11" s="55">
        <v>501</v>
      </c>
      <c r="J11" s="56">
        <v>0.5</v>
      </c>
      <c r="K11" s="57">
        <v>21767732</v>
      </c>
      <c r="L11" s="55">
        <v>726</v>
      </c>
      <c r="M11" s="56">
        <v>0.36</v>
      </c>
    </row>
    <row r="12" spans="1:13">
      <c r="A12" s="58" t="s">
        <v>80</v>
      </c>
      <c r="B12" s="59">
        <v>250000</v>
      </c>
      <c r="C12" s="60">
        <v>1</v>
      </c>
      <c r="D12" s="61">
        <v>0</v>
      </c>
      <c r="E12" s="62">
        <v>250000</v>
      </c>
      <c r="F12" s="60">
        <v>2</v>
      </c>
      <c r="G12" s="61">
        <v>0</v>
      </c>
      <c r="H12" s="62">
        <v>250000</v>
      </c>
      <c r="I12" s="60">
        <v>4</v>
      </c>
      <c r="J12" s="61">
        <v>0</v>
      </c>
      <c r="K12" s="62">
        <v>250000</v>
      </c>
      <c r="L12" s="60">
        <v>8</v>
      </c>
      <c r="M12" s="61">
        <v>0</v>
      </c>
    </row>
    <row r="13" spans="1:13">
      <c r="A13" s="48" t="s">
        <v>81</v>
      </c>
      <c r="B13" s="49">
        <v>295289</v>
      </c>
      <c r="C13" s="50">
        <v>1</v>
      </c>
      <c r="D13" s="51">
        <v>0</v>
      </c>
      <c r="E13" s="52">
        <v>295289</v>
      </c>
      <c r="F13" s="50">
        <v>2</v>
      </c>
      <c r="G13" s="51">
        <v>0</v>
      </c>
      <c r="H13" s="52">
        <v>295289</v>
      </c>
      <c r="I13" s="50">
        <v>5</v>
      </c>
      <c r="J13" s="51">
        <v>0</v>
      </c>
      <c r="K13" s="52">
        <v>295289</v>
      </c>
      <c r="L13" s="50">
        <v>10</v>
      </c>
      <c r="M13" s="51">
        <v>0</v>
      </c>
    </row>
    <row r="14" spans="1:13">
      <c r="A14" s="48" t="s">
        <v>82</v>
      </c>
      <c r="B14" s="49">
        <v>1802363</v>
      </c>
      <c r="C14" s="50">
        <v>8</v>
      </c>
      <c r="D14" s="51">
        <v>0.03</v>
      </c>
      <c r="E14" s="52">
        <v>1802363</v>
      </c>
      <c r="F14" s="50">
        <v>15</v>
      </c>
      <c r="G14" s="51">
        <v>0.03</v>
      </c>
      <c r="H14" s="52">
        <v>1802363</v>
      </c>
      <c r="I14" s="50">
        <v>30</v>
      </c>
      <c r="J14" s="51">
        <v>0.03</v>
      </c>
      <c r="K14" s="52">
        <v>1802363</v>
      </c>
      <c r="L14" s="50">
        <v>60</v>
      </c>
      <c r="M14" s="51">
        <v>0.03</v>
      </c>
    </row>
    <row r="15" spans="1:13">
      <c r="A15" s="48" t="s">
        <v>83</v>
      </c>
      <c r="B15" s="49">
        <v>2477135</v>
      </c>
      <c r="C15" s="50">
        <v>10</v>
      </c>
      <c r="D15" s="51">
        <v>0.04</v>
      </c>
      <c r="E15" s="52">
        <v>1476303</v>
      </c>
      <c r="F15" s="50">
        <v>12</v>
      </c>
      <c r="G15" s="51">
        <v>0.02</v>
      </c>
      <c r="H15" s="52">
        <v>975887</v>
      </c>
      <c r="I15" s="50">
        <v>16</v>
      </c>
      <c r="J15" s="51">
        <v>0.02</v>
      </c>
      <c r="K15" s="52">
        <v>725679</v>
      </c>
      <c r="L15" s="50">
        <v>24</v>
      </c>
      <c r="M15" s="51">
        <v>0.01</v>
      </c>
    </row>
    <row r="16" spans="1:13">
      <c r="A16" s="48" t="s">
        <v>84</v>
      </c>
      <c r="B16" s="49">
        <v>2477135</v>
      </c>
      <c r="C16" s="50">
        <v>10</v>
      </c>
      <c r="D16" s="51">
        <v>0.04</v>
      </c>
      <c r="E16" s="52">
        <v>1476303</v>
      </c>
      <c r="F16" s="50">
        <v>12</v>
      </c>
      <c r="G16" s="51">
        <v>0.02</v>
      </c>
      <c r="H16" s="52">
        <v>975887</v>
      </c>
      <c r="I16" s="50">
        <v>16</v>
      </c>
      <c r="J16" s="51">
        <v>0.02</v>
      </c>
      <c r="K16" s="52">
        <v>725679</v>
      </c>
      <c r="L16" s="50">
        <v>24</v>
      </c>
      <c r="M16" s="51">
        <v>0.01</v>
      </c>
    </row>
    <row r="17" spans="1:13">
      <c r="A17" s="48" t="s">
        <v>85</v>
      </c>
      <c r="B17" s="49">
        <v>4346702</v>
      </c>
      <c r="C17" s="50">
        <v>18</v>
      </c>
      <c r="D17" s="51">
        <v>7.0000000000000007E-2</v>
      </c>
      <c r="E17" s="52">
        <v>2593350</v>
      </c>
      <c r="F17" s="50">
        <v>22</v>
      </c>
      <c r="G17" s="51">
        <v>0.04</v>
      </c>
      <c r="H17" s="52">
        <v>1716675</v>
      </c>
      <c r="I17" s="50">
        <v>29</v>
      </c>
      <c r="J17" s="51">
        <v>0.03</v>
      </c>
      <c r="K17" s="52">
        <v>1278337</v>
      </c>
      <c r="L17" s="50">
        <v>43</v>
      </c>
      <c r="M17" s="51">
        <v>0.02</v>
      </c>
    </row>
    <row r="18" spans="1:13">
      <c r="A18" s="63" t="s">
        <v>86</v>
      </c>
      <c r="B18" s="64">
        <v>11648623</v>
      </c>
      <c r="C18" s="65">
        <v>49</v>
      </c>
      <c r="D18" s="66">
        <v>0.19</v>
      </c>
      <c r="E18" s="67">
        <v>7893608</v>
      </c>
      <c r="F18" s="65">
        <v>66</v>
      </c>
      <c r="G18" s="66">
        <v>0.13</v>
      </c>
      <c r="H18" s="67">
        <v>6016101</v>
      </c>
      <c r="I18" s="65">
        <v>100</v>
      </c>
      <c r="J18" s="66">
        <v>0.1</v>
      </c>
      <c r="K18" s="67">
        <v>5077347</v>
      </c>
      <c r="L18" s="65">
        <v>169</v>
      </c>
      <c r="M18" s="66">
        <v>0.08</v>
      </c>
    </row>
    <row r="20" spans="1:13">
      <c r="A20" s="68" t="s">
        <v>87</v>
      </c>
    </row>
    <row r="22" spans="1:13">
      <c r="A22" s="42" t="s">
        <v>88</v>
      </c>
      <c r="D22" s="69">
        <f>SUM(D5:D9,D12:D17)</f>
        <v>0.57999999999999985</v>
      </c>
      <c r="E22" s="70" t="s">
        <v>89</v>
      </c>
    </row>
    <row r="23" spans="1:13">
      <c r="A23" s="71" t="s">
        <v>90</v>
      </c>
      <c r="D23" s="72">
        <f>D10*SUM(D5:D7)/SUM(D4:D7)</f>
        <v>2.1272727272727273E-2</v>
      </c>
      <c r="E23" s="70" t="s">
        <v>89</v>
      </c>
    </row>
    <row r="24" spans="1:13">
      <c r="A24" s="71" t="s">
        <v>91</v>
      </c>
      <c r="D24" s="69">
        <f>SUM(D22:D23)</f>
        <v>0.60127272727272707</v>
      </c>
      <c r="E24" s="70" t="s">
        <v>89</v>
      </c>
    </row>
    <row r="25" spans="1:13">
      <c r="A25" s="71" t="s">
        <v>91</v>
      </c>
      <c r="D25" s="73">
        <f>D24*10^6</f>
        <v>601272.72727272706</v>
      </c>
      <c r="E25" s="70" t="s">
        <v>92</v>
      </c>
    </row>
    <row r="26" spans="1:13">
      <c r="A26" s="71" t="s">
        <v>91</v>
      </c>
      <c r="D26" s="73">
        <f>D25*About!A42</f>
        <v>549760.10443936056</v>
      </c>
      <c r="E26" s="70" t="s">
        <v>93</v>
      </c>
    </row>
    <row r="28" spans="1:13">
      <c r="A28" s="42" t="s">
        <v>94</v>
      </c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A1:C38"/>
  <sheetViews>
    <sheetView workbookViewId="0">
      <selection activeCell="B6" sqref="B6"/>
    </sheetView>
  </sheetViews>
  <sheetFormatPr defaultRowHeight="14.25"/>
  <cols>
    <col min="1" max="1" width="11.1328125" customWidth="1"/>
    <col min="2" max="2" width="21.3984375" customWidth="1"/>
  </cols>
  <sheetData>
    <row r="1" spans="1:3">
      <c r="A1" s="13" t="s">
        <v>1</v>
      </c>
      <c r="B1" s="13" t="s">
        <v>31</v>
      </c>
    </row>
    <row r="2" spans="1:3">
      <c r="A2">
        <f>Calculations!A80</f>
        <v>2014</v>
      </c>
      <c r="B2" s="9">
        <f>(B3-B4)+B3</f>
        <v>1511501.8099999991</v>
      </c>
    </row>
    <row r="3" spans="1:3">
      <c r="A3">
        <f>Calculations!A81</f>
        <v>2015</v>
      </c>
      <c r="B3" s="9">
        <f t="shared" ref="B3:B4" si="0">(B4-B5)+B4</f>
        <v>1397027.9049999993</v>
      </c>
      <c r="C3" s="15"/>
    </row>
    <row r="4" spans="1:3">
      <c r="A4">
        <f>Calculations!A82</f>
        <v>2016</v>
      </c>
      <c r="B4" s="9">
        <f t="shared" si="0"/>
        <v>1282553.9999999995</v>
      </c>
      <c r="C4" s="15"/>
    </row>
    <row r="5" spans="1:3">
      <c r="A5">
        <f>Calculations!A83</f>
        <v>2017</v>
      </c>
      <c r="B5" s="9">
        <f>(B6-B7)+B6</f>
        <v>1168080.0949999997</v>
      </c>
      <c r="C5" s="15"/>
    </row>
    <row r="6" spans="1:3">
      <c r="A6">
        <f>Calculations!A84</f>
        <v>2018</v>
      </c>
      <c r="B6" s="9">
        <f>'Texas Notes'!F9*1000</f>
        <v>1053606.19</v>
      </c>
      <c r="C6" s="15"/>
    </row>
    <row r="7" spans="1:3">
      <c r="A7">
        <f>Calculations!A85</f>
        <v>2019</v>
      </c>
      <c r="B7" s="9">
        <f>AVERAGE(B6,B8)</f>
        <v>939132.28500000003</v>
      </c>
      <c r="C7" s="15"/>
    </row>
    <row r="8" spans="1:3">
      <c r="A8">
        <f>Calculations!A86</f>
        <v>2020</v>
      </c>
      <c r="B8" s="9">
        <f>'Texas Notes'!F10*1000</f>
        <v>824658.38000000012</v>
      </c>
      <c r="C8" s="15"/>
    </row>
    <row r="9" spans="1:3">
      <c r="A9">
        <f>Calculations!A87</f>
        <v>2021</v>
      </c>
      <c r="B9" s="9">
        <f>B8*0.8+B13*0.2</f>
        <v>761682.55800000019</v>
      </c>
      <c r="C9" s="15"/>
    </row>
    <row r="10" spans="1:3">
      <c r="A10">
        <f>Calculations!A88</f>
        <v>2022</v>
      </c>
      <c r="B10" s="9">
        <f>B8*0.6+B13*0.4</f>
        <v>698706.73600000003</v>
      </c>
      <c r="C10" s="15"/>
    </row>
    <row r="11" spans="1:3">
      <c r="A11">
        <f>Calculations!A89</f>
        <v>2023</v>
      </c>
      <c r="B11" s="9">
        <f>B8*0.4+B13*0.6</f>
        <v>635730.91400000011</v>
      </c>
      <c r="C11" s="15"/>
    </row>
    <row r="12" spans="1:3">
      <c r="A12">
        <f>Calculations!A90</f>
        <v>2024</v>
      </c>
      <c r="B12" s="9">
        <f>B8*0.2+B13*0.8</f>
        <v>572755.09200000006</v>
      </c>
      <c r="C12" s="15"/>
    </row>
    <row r="13" spans="1:3">
      <c r="A13">
        <f>Calculations!A91</f>
        <v>2025</v>
      </c>
      <c r="B13" s="9">
        <f>'Texas Notes'!F11*1000</f>
        <v>509779.27</v>
      </c>
      <c r="C13" s="15"/>
    </row>
    <row r="14" spans="1:3">
      <c r="A14">
        <f>Calculations!A92</f>
        <v>2026</v>
      </c>
      <c r="B14" s="9">
        <f>B13*0.8+B18*0.2</f>
        <v>476792.86200000002</v>
      </c>
      <c r="C14" s="15"/>
    </row>
    <row r="15" spans="1:3">
      <c r="A15">
        <f>Calculations!A93</f>
        <v>2027</v>
      </c>
      <c r="B15" s="9">
        <f>B13*0.6+B18*0.4</f>
        <v>443806.45400000003</v>
      </c>
      <c r="C15" s="15"/>
    </row>
    <row r="16" spans="1:3">
      <c r="A16">
        <f>Calculations!A94</f>
        <v>2028</v>
      </c>
      <c r="B16" s="9">
        <f>B13*0.4+B18*0.6</f>
        <v>410820.04600000003</v>
      </c>
      <c r="C16" s="15"/>
    </row>
    <row r="17" spans="1:3">
      <c r="A17">
        <f>Calculations!A95</f>
        <v>2029</v>
      </c>
      <c r="B17" s="9">
        <f>B13*0.2+B18*0.8</f>
        <v>377833.63800000004</v>
      </c>
      <c r="C17" s="15"/>
    </row>
    <row r="18" spans="1:3">
      <c r="A18">
        <f>Calculations!A96</f>
        <v>2030</v>
      </c>
      <c r="B18" s="9">
        <f>'Texas Notes'!F12*1000</f>
        <v>344847.23000000004</v>
      </c>
      <c r="C18" s="15"/>
    </row>
    <row r="19" spans="1:3">
      <c r="A19" s="15">
        <f>Calculations!A97</f>
        <v>2031</v>
      </c>
      <c r="B19" s="9">
        <f>B18*0.8+B23*0.2</f>
        <v>338102.31000000006</v>
      </c>
      <c r="C19" s="15"/>
    </row>
    <row r="20" spans="1:3">
      <c r="A20" s="15">
        <f>Calculations!A98</f>
        <v>2032</v>
      </c>
      <c r="B20" s="9">
        <f>B18*0.6+B23*0.4</f>
        <v>331357.39</v>
      </c>
      <c r="C20" s="15"/>
    </row>
    <row r="21" spans="1:3">
      <c r="A21" s="15">
        <f>Calculations!A99</f>
        <v>2033</v>
      </c>
      <c r="B21" s="9">
        <f>B18*0.4+B23*0.6</f>
        <v>324612.47000000003</v>
      </c>
      <c r="C21" s="15"/>
    </row>
    <row r="22" spans="1:3">
      <c r="A22" s="15">
        <f>Calculations!A100</f>
        <v>2034</v>
      </c>
      <c r="B22" s="9">
        <f>B18*0.2+B23*0.8</f>
        <v>317867.55000000005</v>
      </c>
      <c r="C22" s="15"/>
    </row>
    <row r="23" spans="1:3">
      <c r="A23" s="15">
        <f>Calculations!A101</f>
        <v>2035</v>
      </c>
      <c r="B23" s="9">
        <f>'Texas Notes'!F13*1000</f>
        <v>311122.63</v>
      </c>
      <c r="C23" s="15"/>
    </row>
    <row r="24" spans="1:3">
      <c r="A24" s="15">
        <f>Calculations!A102</f>
        <v>2036</v>
      </c>
      <c r="B24" s="9">
        <f>B23*0.8+B28*0.2</f>
        <v>304373.342</v>
      </c>
      <c r="C24" s="15"/>
    </row>
    <row r="25" spans="1:3">
      <c r="A25" s="15">
        <f>Calculations!A103</f>
        <v>2037</v>
      </c>
      <c r="B25" s="9">
        <f>B23*0.6+B28*0.4</f>
        <v>297624.054</v>
      </c>
      <c r="C25" s="15"/>
    </row>
    <row r="26" spans="1:3">
      <c r="A26" s="15">
        <f>Calculations!A104</f>
        <v>2038</v>
      </c>
      <c r="B26" s="9">
        <f>B23*0.4+B28*0.6</f>
        <v>290874.766</v>
      </c>
      <c r="C26" s="15"/>
    </row>
    <row r="27" spans="1:3">
      <c r="A27" s="15">
        <f>Calculations!A105</f>
        <v>2039</v>
      </c>
      <c r="B27" s="9">
        <f>B23*0.2+B28*0.8</f>
        <v>284125.478</v>
      </c>
      <c r="C27" s="15"/>
    </row>
    <row r="28" spans="1:3">
      <c r="A28" s="15">
        <f>Calculations!A106</f>
        <v>2040</v>
      </c>
      <c r="B28" s="9">
        <f>'Texas Notes'!F14*1000</f>
        <v>277376.19</v>
      </c>
      <c r="C28" s="15"/>
    </row>
    <row r="29" spans="1:3">
      <c r="A29" s="15">
        <f>Calculations!A107</f>
        <v>2041</v>
      </c>
      <c r="B29" s="9">
        <f>B28*0.8+B33*0.2</f>
        <v>270631.27</v>
      </c>
      <c r="C29" s="15"/>
    </row>
    <row r="30" spans="1:3">
      <c r="A30" s="15">
        <f>Calculations!A108</f>
        <v>2042</v>
      </c>
      <c r="B30" s="9">
        <f>B28*0.6+B33*0.4</f>
        <v>263886.34999999998</v>
      </c>
      <c r="C30" s="15"/>
    </row>
    <row r="31" spans="1:3">
      <c r="A31" s="15">
        <f>Calculations!A109</f>
        <v>2043</v>
      </c>
      <c r="B31" s="9">
        <f>B28*0.4+B33*0.6</f>
        <v>257141.43</v>
      </c>
      <c r="C31" s="15"/>
    </row>
    <row r="32" spans="1:3">
      <c r="A32" s="15">
        <f>Calculations!A110</f>
        <v>2044</v>
      </c>
      <c r="B32" s="9">
        <f>B28*0.2+B33*0.8</f>
        <v>250396.51</v>
      </c>
      <c r="C32" s="15"/>
    </row>
    <row r="33" spans="1:3">
      <c r="A33" s="15">
        <f>Calculations!A111</f>
        <v>2045</v>
      </c>
      <c r="B33" s="9">
        <f>'Texas Notes'!F15*1000</f>
        <v>243651.59</v>
      </c>
      <c r="C33" s="15"/>
    </row>
    <row r="34" spans="1:3">
      <c r="A34" s="15">
        <f>Calculations!A112</f>
        <v>2046</v>
      </c>
      <c r="B34" s="9">
        <f>B33*0.8+B38*0.2</f>
        <v>236902.302</v>
      </c>
      <c r="C34" s="15"/>
    </row>
    <row r="35" spans="1:3">
      <c r="A35" s="15">
        <f>Calculations!A113</f>
        <v>2047</v>
      </c>
      <c r="B35" s="9">
        <f>B33*0.6+B38*0.4</f>
        <v>230153.014</v>
      </c>
      <c r="C35" s="15"/>
    </row>
    <row r="36" spans="1:3">
      <c r="A36" s="15">
        <f>Calculations!A114</f>
        <v>2048</v>
      </c>
      <c r="B36" s="9">
        <f>B33*0.4+B38*0.6</f>
        <v>223403.726</v>
      </c>
      <c r="C36" s="15"/>
    </row>
    <row r="37" spans="1:3">
      <c r="A37" s="15">
        <f>Calculations!A115</f>
        <v>2049</v>
      </c>
      <c r="B37" s="9">
        <f>B33*0.2+B38*0.8</f>
        <v>216654.43799999999</v>
      </c>
      <c r="C37" s="15"/>
    </row>
    <row r="38" spans="1:3">
      <c r="A38" s="15">
        <f>Calculations!A116</f>
        <v>2050</v>
      </c>
      <c r="B38" s="9">
        <f>'Texas Notes'!F16*1000</f>
        <v>209905.15</v>
      </c>
      <c r="C38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A1:AH2"/>
  <sheetViews>
    <sheetView workbookViewId="0">
      <selection activeCell="B2" sqref="B2"/>
    </sheetView>
  </sheetViews>
  <sheetFormatPr defaultRowHeight="14.25"/>
  <cols>
    <col min="1" max="1" width="19.86328125" style="15" customWidth="1"/>
    <col min="2" max="16384" width="9.06640625" style="15"/>
  </cols>
  <sheetData>
    <row r="1" spans="1:34">
      <c r="A1" s="15" t="s">
        <v>95</v>
      </c>
      <c r="B1" s="15">
        <v>2018</v>
      </c>
      <c r="C1" s="15">
        <v>2019</v>
      </c>
      <c r="D1" s="15">
        <v>2020</v>
      </c>
      <c r="E1" s="15">
        <v>2021</v>
      </c>
      <c r="F1" s="15">
        <v>2022</v>
      </c>
      <c r="G1" s="15">
        <v>2023</v>
      </c>
      <c r="H1" s="15">
        <v>2024</v>
      </c>
      <c r="I1" s="15">
        <v>2025</v>
      </c>
      <c r="J1" s="15">
        <v>2026</v>
      </c>
      <c r="K1" s="15">
        <v>2027</v>
      </c>
      <c r="L1" s="15">
        <v>2028</v>
      </c>
      <c r="M1" s="15">
        <v>2029</v>
      </c>
      <c r="N1" s="15">
        <v>2030</v>
      </c>
      <c r="O1" s="15">
        <v>2031</v>
      </c>
      <c r="P1" s="15">
        <v>2032</v>
      </c>
      <c r="Q1" s="15">
        <v>2033</v>
      </c>
      <c r="R1" s="15">
        <v>2034</v>
      </c>
      <c r="S1" s="15">
        <v>2035</v>
      </c>
      <c r="T1" s="15">
        <v>2036</v>
      </c>
      <c r="U1" s="15">
        <v>2037</v>
      </c>
      <c r="V1" s="15">
        <v>2038</v>
      </c>
      <c r="W1" s="15">
        <v>2039</v>
      </c>
      <c r="X1" s="15">
        <v>2040</v>
      </c>
      <c r="Y1" s="15">
        <v>2041</v>
      </c>
      <c r="Z1" s="15">
        <v>2042</v>
      </c>
      <c r="AA1" s="15">
        <v>2043</v>
      </c>
      <c r="AB1" s="15">
        <v>2044</v>
      </c>
      <c r="AC1" s="15">
        <v>2045</v>
      </c>
      <c r="AD1" s="15">
        <v>2046</v>
      </c>
      <c r="AE1" s="15">
        <v>2047</v>
      </c>
      <c r="AF1" s="15">
        <v>2048</v>
      </c>
      <c r="AG1" s="15">
        <v>2049</v>
      </c>
      <c r="AH1" s="15">
        <v>2050</v>
      </c>
    </row>
    <row r="2" spans="1:34">
      <c r="A2" s="15" t="s">
        <v>91</v>
      </c>
      <c r="B2" s="9">
        <f>'Balance of System Calculations'!D26</f>
        <v>549760.10443936056</v>
      </c>
      <c r="C2" s="9">
        <f>$B2</f>
        <v>549760.10443936056</v>
      </c>
      <c r="D2" s="9">
        <f t="shared" ref="D2:AH2" si="0">$B2</f>
        <v>549760.10443936056</v>
      </c>
      <c r="E2" s="9">
        <f t="shared" si="0"/>
        <v>549760.10443936056</v>
      </c>
      <c r="F2" s="9">
        <f t="shared" si="0"/>
        <v>549760.10443936056</v>
      </c>
      <c r="G2" s="9">
        <f t="shared" si="0"/>
        <v>549760.10443936056</v>
      </c>
      <c r="H2" s="9">
        <f t="shared" si="0"/>
        <v>549760.10443936056</v>
      </c>
      <c r="I2" s="9">
        <f t="shared" si="0"/>
        <v>549760.10443936056</v>
      </c>
      <c r="J2" s="9">
        <f t="shared" si="0"/>
        <v>549760.10443936056</v>
      </c>
      <c r="K2" s="9">
        <f t="shared" si="0"/>
        <v>549760.10443936056</v>
      </c>
      <c r="L2" s="9">
        <f t="shared" si="0"/>
        <v>549760.10443936056</v>
      </c>
      <c r="M2" s="9">
        <f t="shared" si="0"/>
        <v>549760.10443936056</v>
      </c>
      <c r="N2" s="9">
        <f t="shared" si="0"/>
        <v>549760.10443936056</v>
      </c>
      <c r="O2" s="9">
        <f t="shared" si="0"/>
        <v>549760.10443936056</v>
      </c>
      <c r="P2" s="9">
        <f t="shared" si="0"/>
        <v>549760.10443936056</v>
      </c>
      <c r="Q2" s="9">
        <f t="shared" si="0"/>
        <v>549760.10443936056</v>
      </c>
      <c r="R2" s="9">
        <f t="shared" si="0"/>
        <v>549760.10443936056</v>
      </c>
      <c r="S2" s="9">
        <f t="shared" si="0"/>
        <v>549760.10443936056</v>
      </c>
      <c r="T2" s="9">
        <f t="shared" si="0"/>
        <v>549760.10443936056</v>
      </c>
      <c r="U2" s="9">
        <f t="shared" si="0"/>
        <v>549760.10443936056</v>
      </c>
      <c r="V2" s="9">
        <f t="shared" si="0"/>
        <v>549760.10443936056</v>
      </c>
      <c r="W2" s="9">
        <f t="shared" si="0"/>
        <v>549760.10443936056</v>
      </c>
      <c r="X2" s="9">
        <f t="shared" si="0"/>
        <v>549760.10443936056</v>
      </c>
      <c r="Y2" s="9">
        <f t="shared" si="0"/>
        <v>549760.10443936056</v>
      </c>
      <c r="Z2" s="9">
        <f t="shared" si="0"/>
        <v>549760.10443936056</v>
      </c>
      <c r="AA2" s="9">
        <f t="shared" si="0"/>
        <v>549760.10443936056</v>
      </c>
      <c r="AB2" s="9">
        <f t="shared" si="0"/>
        <v>549760.10443936056</v>
      </c>
      <c r="AC2" s="9">
        <f t="shared" si="0"/>
        <v>549760.10443936056</v>
      </c>
      <c r="AD2" s="9">
        <f t="shared" si="0"/>
        <v>549760.10443936056</v>
      </c>
      <c r="AE2" s="9">
        <f t="shared" si="0"/>
        <v>549760.10443936056</v>
      </c>
      <c r="AF2" s="9">
        <f t="shared" si="0"/>
        <v>549760.10443936056</v>
      </c>
      <c r="AG2" s="9">
        <f t="shared" si="0"/>
        <v>549760.10443936056</v>
      </c>
      <c r="AH2" s="9">
        <f t="shared" si="0"/>
        <v>549760.10443936056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Calculations</vt:lpstr>
      <vt:lpstr>Texas Calculations</vt:lpstr>
      <vt:lpstr>Texas Notes</vt:lpstr>
      <vt:lpstr>Balance of System Calculations</vt:lpstr>
      <vt:lpstr>BCpUC</vt:lpstr>
      <vt:lpstr>BBoSCpUC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2015-05-01T22:00:45Z</dcterms:created>
  <dcterms:modified xsi:type="dcterms:W3CDTF">2020-10-25T20:03:57Z</dcterms:modified>
</cp:coreProperties>
</file>