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eganM\Documents\eps-texas\InputData\indst\BIFUbC\"/>
    </mc:Choice>
  </mc:AlternateContent>
  <bookViews>
    <workbookView xWindow="0" yWindow="0" windowWidth="28800" windowHeight="12930"/>
  </bookViews>
  <sheets>
    <sheet name="About" sheetId="1" r:id="rId1"/>
    <sheet name="METHOD" sheetId="40" r:id="rId2"/>
    <sheet name="Refineries" sheetId="25" r:id="rId3"/>
    <sheet name="Pipelines &amp; Military" sheetId="27" r:id="rId4"/>
    <sheet name="AEO Table 73" sheetId="26" r:id="rId5"/>
    <sheet name="TX O&amp;G" sheetId="35" r:id="rId6"/>
    <sheet name="TX Renewables" sheetId="38" r:id="rId7"/>
    <sheet name="NREL by NAICS" sheetId="33" r:id="rId8"/>
    <sheet name="Mining Breakdown" sheetId="28" r:id="rId9"/>
    <sheet name="EPS Natl Trends" sheetId="36" r:id="rId10"/>
    <sheet name="Data" sheetId="14" r:id="rId11"/>
    <sheet name="TX SEDS" sheetId="30" r:id="rId12"/>
    <sheet name="TX Calculations" sheetId="39"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21" r:id="rId20"/>
    <sheet name="BIFUbC-heavy-or-residual-oil" sheetId="22" r:id="rId21"/>
    <sheet name="BIFUbC-LPG-propane-or-butane" sheetId="23" r:id="rId22"/>
    <sheet name="BIFUbC-hydrogen" sheetId="24" r:id="rId23"/>
  </sheets>
  <externalReferences>
    <externalReference r:id="rId24"/>
  </externalReferences>
  <definedNames>
    <definedName name="_xlnm._FilterDatabase" localSheetId="7" hidden="1">'NREL by NAICS'!$Q$3:$S$42</definedName>
    <definedName name="_xlnm._FilterDatabase" localSheetId="11" hidden="1">'TX SEDS'!$Z$122:$AD$143</definedName>
    <definedName name="ag_percent">'TX Calculations'!$C$327</definedName>
    <definedName name="coal_scale">'TX SEDS'!$B$133</definedName>
    <definedName name="elec_scale">'TX SEDS'!$O$133</definedName>
    <definedName name="FO_scale">'TX SEDS'!$G$133</definedName>
    <definedName name="fueloil_scale">'TX SEDS'!$G$133</definedName>
    <definedName name="gal_per_barrel">[1]About!$A$63</definedName>
    <definedName name="LPG_scale">'TX SEDS'!$E$133</definedName>
    <definedName name="NG_scale">'TX SEDS'!$C$133</definedName>
    <definedName name="PD_scale">'TX SEDS'!$F$133</definedName>
    <definedName name="wood_scale">'TX SEDS'!$K$133</definedName>
  </definedNames>
  <calcPr calcId="191029"/>
</workbook>
</file>

<file path=xl/calcChain.xml><?xml version="1.0" encoding="utf-8"?>
<calcChain xmlns="http://schemas.openxmlformats.org/spreadsheetml/2006/main">
  <c r="F388" i="39" l="1"/>
  <c r="G388" i="39" s="1"/>
  <c r="H388" i="39" s="1"/>
  <c r="I388" i="39" s="1"/>
  <c r="J388" i="39" s="1"/>
  <c r="K388" i="39" s="1"/>
  <c r="L388" i="39" s="1"/>
  <c r="M388" i="39" s="1"/>
  <c r="N388" i="39" s="1"/>
  <c r="O388" i="39" s="1"/>
  <c r="P388" i="39" s="1"/>
  <c r="Q388" i="39" s="1"/>
  <c r="R388" i="39" s="1"/>
  <c r="S388" i="39" s="1"/>
  <c r="T388" i="39" s="1"/>
  <c r="U388" i="39" s="1"/>
  <c r="V388" i="39" s="1"/>
  <c r="W388" i="39" s="1"/>
  <c r="X388" i="39" s="1"/>
  <c r="Y388" i="39" s="1"/>
  <c r="Z388" i="39" s="1"/>
  <c r="AA388" i="39" s="1"/>
  <c r="AB388" i="39" s="1"/>
  <c r="AC388" i="39" s="1"/>
  <c r="AD388" i="39" s="1"/>
  <c r="AE388" i="39" s="1"/>
  <c r="AF388" i="39" s="1"/>
  <c r="AG388" i="39" s="1"/>
  <c r="AH388" i="39" s="1"/>
  <c r="AI388" i="39" s="1"/>
  <c r="F389" i="39"/>
  <c r="G389" i="39"/>
  <c r="H389" i="39" s="1"/>
  <c r="I389" i="39" s="1"/>
  <c r="J389" i="39" s="1"/>
  <c r="K389" i="39" s="1"/>
  <c r="L389" i="39" s="1"/>
  <c r="M389" i="39" s="1"/>
  <c r="N389" i="39" s="1"/>
  <c r="O389" i="39" s="1"/>
  <c r="P389" i="39" s="1"/>
  <c r="Q389" i="39" s="1"/>
  <c r="R389" i="39" s="1"/>
  <c r="S389" i="39" s="1"/>
  <c r="T389" i="39" s="1"/>
  <c r="U389" i="39" s="1"/>
  <c r="V389" i="39" s="1"/>
  <c r="W389" i="39" s="1"/>
  <c r="X389" i="39" s="1"/>
  <c r="Y389" i="39" s="1"/>
  <c r="Z389" i="39" s="1"/>
  <c r="AA389" i="39" s="1"/>
  <c r="AB389" i="39" s="1"/>
  <c r="AC389" i="39" s="1"/>
  <c r="AD389" i="39" s="1"/>
  <c r="AE389" i="39" s="1"/>
  <c r="AF389" i="39" s="1"/>
  <c r="AG389" i="39" s="1"/>
  <c r="AH389" i="39" s="1"/>
  <c r="AI389" i="39" s="1"/>
  <c r="F390" i="39"/>
  <c r="G390" i="39" s="1"/>
  <c r="H390" i="39" s="1"/>
  <c r="I390" i="39" s="1"/>
  <c r="J390" i="39" s="1"/>
  <c r="K390" i="39" s="1"/>
  <c r="L390" i="39" s="1"/>
  <c r="M390" i="39" s="1"/>
  <c r="N390" i="39" s="1"/>
  <c r="O390" i="39" s="1"/>
  <c r="P390" i="39" s="1"/>
  <c r="Q390" i="39" s="1"/>
  <c r="R390" i="39" s="1"/>
  <c r="S390" i="39" s="1"/>
  <c r="T390" i="39" s="1"/>
  <c r="U390" i="39" s="1"/>
  <c r="V390" i="39" s="1"/>
  <c r="W390" i="39" s="1"/>
  <c r="X390" i="39" s="1"/>
  <c r="Y390" i="39" s="1"/>
  <c r="Z390" i="39" s="1"/>
  <c r="AA390" i="39" s="1"/>
  <c r="AB390" i="39" s="1"/>
  <c r="AC390" i="39" s="1"/>
  <c r="AD390" i="39" s="1"/>
  <c r="AE390" i="39" s="1"/>
  <c r="AF390" i="39" s="1"/>
  <c r="AG390" i="39" s="1"/>
  <c r="AH390" i="39" s="1"/>
  <c r="AI390" i="39" s="1"/>
  <c r="F391" i="39"/>
  <c r="G391" i="39" s="1"/>
  <c r="H391" i="39" s="1"/>
  <c r="I391" i="39" s="1"/>
  <c r="J391" i="39" s="1"/>
  <c r="K391" i="39" s="1"/>
  <c r="L391" i="39" s="1"/>
  <c r="M391" i="39" s="1"/>
  <c r="N391" i="39" s="1"/>
  <c r="O391" i="39" s="1"/>
  <c r="P391" i="39" s="1"/>
  <c r="Q391" i="39" s="1"/>
  <c r="R391" i="39" s="1"/>
  <c r="S391" i="39" s="1"/>
  <c r="T391" i="39" s="1"/>
  <c r="U391" i="39" s="1"/>
  <c r="V391" i="39" s="1"/>
  <c r="W391" i="39" s="1"/>
  <c r="X391" i="39" s="1"/>
  <c r="Y391" i="39" s="1"/>
  <c r="Z391" i="39" s="1"/>
  <c r="AA391" i="39" s="1"/>
  <c r="AB391" i="39" s="1"/>
  <c r="AC391" i="39" s="1"/>
  <c r="AD391" i="39" s="1"/>
  <c r="AE391" i="39" s="1"/>
  <c r="AF391" i="39" s="1"/>
  <c r="AG391" i="39" s="1"/>
  <c r="AH391" i="39" s="1"/>
  <c r="AI391" i="39" s="1"/>
  <c r="F392" i="39"/>
  <c r="G392" i="39" s="1"/>
  <c r="H392" i="39" s="1"/>
  <c r="I392" i="39" s="1"/>
  <c r="J392" i="39" s="1"/>
  <c r="K392" i="39" s="1"/>
  <c r="L392" i="39" s="1"/>
  <c r="M392" i="39" s="1"/>
  <c r="N392" i="39" s="1"/>
  <c r="O392" i="39" s="1"/>
  <c r="P392" i="39" s="1"/>
  <c r="Q392" i="39" s="1"/>
  <c r="R392" i="39" s="1"/>
  <c r="S392" i="39" s="1"/>
  <c r="T392" i="39" s="1"/>
  <c r="U392" i="39" s="1"/>
  <c r="V392" i="39" s="1"/>
  <c r="W392" i="39" s="1"/>
  <c r="X392" i="39" s="1"/>
  <c r="Y392" i="39" s="1"/>
  <c r="Z392" i="39" s="1"/>
  <c r="AA392" i="39" s="1"/>
  <c r="AB392" i="39" s="1"/>
  <c r="AC392" i="39" s="1"/>
  <c r="AD392" i="39" s="1"/>
  <c r="AE392" i="39" s="1"/>
  <c r="AF392" i="39" s="1"/>
  <c r="AG392" i="39" s="1"/>
  <c r="AH392" i="39" s="1"/>
  <c r="AI392" i="39" s="1"/>
  <c r="F395" i="39"/>
  <c r="G395" i="39"/>
  <c r="H395" i="39" s="1"/>
  <c r="I395" i="39" s="1"/>
  <c r="J395" i="39" s="1"/>
  <c r="K395" i="39" s="1"/>
  <c r="L395" i="39" s="1"/>
  <c r="M395" i="39" s="1"/>
  <c r="N395" i="39" s="1"/>
  <c r="O395" i="39" s="1"/>
  <c r="P395" i="39" s="1"/>
  <c r="Q395" i="39" s="1"/>
  <c r="R395" i="39" s="1"/>
  <c r="S395" i="39" s="1"/>
  <c r="T395" i="39" s="1"/>
  <c r="U395" i="39" s="1"/>
  <c r="V395" i="39" s="1"/>
  <c r="W395" i="39" s="1"/>
  <c r="X395" i="39" s="1"/>
  <c r="Y395" i="39" s="1"/>
  <c r="Z395" i="39" s="1"/>
  <c r="AA395" i="39" s="1"/>
  <c r="AB395" i="39" s="1"/>
  <c r="AC395" i="39" s="1"/>
  <c r="AD395" i="39" s="1"/>
  <c r="AE395" i="39" s="1"/>
  <c r="AF395" i="39" s="1"/>
  <c r="AG395" i="39" s="1"/>
  <c r="AH395" i="39" s="1"/>
  <c r="AI395" i="39" s="1"/>
  <c r="E395" i="39"/>
  <c r="E392" i="39"/>
  <c r="E390" i="39"/>
  <c r="E389" i="39"/>
  <c r="E388" i="39"/>
  <c r="E391" i="39"/>
  <c r="AJ177" i="30" l="1"/>
  <c r="AM180" i="30"/>
  <c r="AF146" i="14"/>
  <c r="D146" i="14"/>
  <c r="E146" i="14"/>
  <c r="F146" i="14"/>
  <c r="G146" i="14"/>
  <c r="H146" i="14"/>
  <c r="I146" i="14"/>
  <c r="J146" i="14"/>
  <c r="K146" i="14"/>
  <c r="L146" i="14"/>
  <c r="M146" i="14"/>
  <c r="N146" i="14"/>
  <c r="O146" i="14"/>
  <c r="P146" i="14"/>
  <c r="Q146" i="14"/>
  <c r="R146" i="14"/>
  <c r="S146" i="14"/>
  <c r="T146" i="14"/>
  <c r="U146" i="14"/>
  <c r="V146" i="14"/>
  <c r="W146" i="14"/>
  <c r="X146" i="14"/>
  <c r="Y146" i="14"/>
  <c r="Z146" i="14"/>
  <c r="AA146" i="14"/>
  <c r="AB146" i="14"/>
  <c r="AC146" i="14"/>
  <c r="AD146" i="14"/>
  <c r="AE146" i="14"/>
  <c r="AG146" i="14"/>
  <c r="AH146" i="14"/>
  <c r="AI146" i="14"/>
  <c r="AJ146" i="14"/>
  <c r="C146" i="14"/>
  <c r="AM176" i="30"/>
  <c r="AM177" i="30"/>
  <c r="AM175" i="30"/>
  <c r="AM174" i="30"/>
  <c r="C205" i="30"/>
  <c r="C179" i="30"/>
  <c r="C177" i="30"/>
  <c r="E179" i="30"/>
  <c r="F179" i="30" s="1"/>
  <c r="G179" i="30" s="1"/>
  <c r="H179" i="30" s="1"/>
  <c r="I179" i="30" s="1"/>
  <c r="J179" i="30" s="1"/>
  <c r="K179" i="30" s="1"/>
  <c r="L179" i="30" s="1"/>
  <c r="M179" i="30" s="1"/>
  <c r="N179" i="30" s="1"/>
  <c r="O179" i="30" s="1"/>
  <c r="P179" i="30" s="1"/>
  <c r="Q179" i="30" s="1"/>
  <c r="R179" i="30" s="1"/>
  <c r="S179" i="30" s="1"/>
  <c r="T179" i="30" s="1"/>
  <c r="U179" i="30" s="1"/>
  <c r="V179" i="30" s="1"/>
  <c r="W179" i="30" s="1"/>
  <c r="X179" i="30" s="1"/>
  <c r="Y179" i="30" s="1"/>
  <c r="Z179" i="30" s="1"/>
  <c r="AA179" i="30" s="1"/>
  <c r="AB179" i="30" s="1"/>
  <c r="AC179" i="30" s="1"/>
  <c r="AD179" i="30" s="1"/>
  <c r="AE179" i="30" s="1"/>
  <c r="AF179" i="30" s="1"/>
  <c r="AG179" i="30" s="1"/>
  <c r="AH179" i="30" s="1"/>
  <c r="AI179" i="30" s="1"/>
  <c r="D179" i="30"/>
  <c r="AJ179" i="30"/>
  <c r="K219" i="30"/>
  <c r="K216" i="30"/>
  <c r="O457" i="39" l="1"/>
  <c r="U215" i="39" l="1"/>
  <c r="V215" i="39"/>
  <c r="W215" i="39"/>
  <c r="X215" i="39"/>
  <c r="U216" i="39"/>
  <c r="V216" i="39"/>
  <c r="W216" i="39"/>
  <c r="X216" i="39"/>
  <c r="U217" i="39"/>
  <c r="V217" i="39"/>
  <c r="W217" i="39"/>
  <c r="X217" i="39"/>
  <c r="X218" i="39"/>
  <c r="V219" i="39"/>
  <c r="X219" i="39"/>
  <c r="U220" i="39"/>
  <c r="V220" i="39"/>
  <c r="W220" i="39"/>
  <c r="X220" i="39"/>
  <c r="T221" i="39"/>
  <c r="T222" i="39"/>
  <c r="V222" i="39"/>
  <c r="X222" i="39"/>
  <c r="T223" i="39"/>
  <c r="T224" i="39"/>
  <c r="U224" i="39"/>
  <c r="V224" i="39"/>
  <c r="W224" i="39"/>
  <c r="X224" i="39"/>
  <c r="R217" i="39"/>
  <c r="R220" i="39"/>
  <c r="Q224" i="39"/>
  <c r="Q223" i="39"/>
  <c r="Q222" i="39"/>
  <c r="Q221" i="39"/>
  <c r="Q220" i="39"/>
  <c r="Q218" i="39"/>
  <c r="Q217" i="39"/>
  <c r="Q215" i="39"/>
  <c r="AJ168" i="30"/>
  <c r="C210" i="30"/>
  <c r="AJ201" i="30"/>
  <c r="D201" i="30" s="1"/>
  <c r="E201" i="30" s="1"/>
  <c r="F201" i="30" s="1"/>
  <c r="G201" i="30" s="1"/>
  <c r="H201" i="30" s="1"/>
  <c r="I201" i="30" s="1"/>
  <c r="J201" i="30" s="1"/>
  <c r="K201" i="30" s="1"/>
  <c r="L201" i="30" s="1"/>
  <c r="M201" i="30" s="1"/>
  <c r="N201" i="30" s="1"/>
  <c r="O201" i="30" s="1"/>
  <c r="P201" i="30" s="1"/>
  <c r="Q201" i="30" s="1"/>
  <c r="R201" i="30" s="1"/>
  <c r="S201" i="30" s="1"/>
  <c r="T201" i="30" s="1"/>
  <c r="U201" i="30" s="1"/>
  <c r="V201" i="30" s="1"/>
  <c r="W201" i="30" s="1"/>
  <c r="X201" i="30" s="1"/>
  <c r="Y201" i="30" s="1"/>
  <c r="Z201" i="30" s="1"/>
  <c r="AA201" i="30" s="1"/>
  <c r="AB201" i="30" s="1"/>
  <c r="AC201" i="30" s="1"/>
  <c r="AD201" i="30" s="1"/>
  <c r="AE201" i="30" s="1"/>
  <c r="AF201" i="30" s="1"/>
  <c r="AG201" i="30" s="1"/>
  <c r="AH201" i="30" s="1"/>
  <c r="AI201" i="30" s="1"/>
  <c r="AJ197" i="30"/>
  <c r="D197" i="30" s="1"/>
  <c r="E197" i="30" s="1"/>
  <c r="F197" i="30" s="1"/>
  <c r="G197" i="30" s="1"/>
  <c r="H197" i="30" s="1"/>
  <c r="I197" i="30" s="1"/>
  <c r="J197" i="30" s="1"/>
  <c r="K197" i="30" s="1"/>
  <c r="L197" i="30" s="1"/>
  <c r="M197" i="30" s="1"/>
  <c r="N197" i="30" s="1"/>
  <c r="O197" i="30" s="1"/>
  <c r="P197" i="30" s="1"/>
  <c r="Q197" i="30" s="1"/>
  <c r="R197" i="30" s="1"/>
  <c r="S197" i="30" s="1"/>
  <c r="T197" i="30" s="1"/>
  <c r="U197" i="30" s="1"/>
  <c r="V197" i="30" s="1"/>
  <c r="W197" i="30" s="1"/>
  <c r="X197" i="30" s="1"/>
  <c r="Y197" i="30" s="1"/>
  <c r="Z197" i="30" s="1"/>
  <c r="AA197" i="30" s="1"/>
  <c r="AB197" i="30" s="1"/>
  <c r="AC197" i="30" s="1"/>
  <c r="AD197" i="30" s="1"/>
  <c r="AE197" i="30" s="1"/>
  <c r="AF197" i="30" s="1"/>
  <c r="AG197" i="30" s="1"/>
  <c r="AH197" i="30" s="1"/>
  <c r="AI197" i="30" s="1"/>
  <c r="AJ187" i="30"/>
  <c r="D187" i="30" s="1"/>
  <c r="E187" i="30" s="1"/>
  <c r="F187" i="30" s="1"/>
  <c r="G187" i="30" s="1"/>
  <c r="H187" i="30" s="1"/>
  <c r="I187" i="30" s="1"/>
  <c r="J187" i="30" s="1"/>
  <c r="K187" i="30" s="1"/>
  <c r="L187" i="30" s="1"/>
  <c r="M187" i="30" s="1"/>
  <c r="N187" i="30" s="1"/>
  <c r="O187" i="30" s="1"/>
  <c r="P187" i="30" s="1"/>
  <c r="Q187" i="30" s="1"/>
  <c r="R187" i="30" s="1"/>
  <c r="S187" i="30" s="1"/>
  <c r="T187" i="30" s="1"/>
  <c r="U187" i="30" s="1"/>
  <c r="V187" i="30" s="1"/>
  <c r="W187" i="30" s="1"/>
  <c r="X187" i="30" s="1"/>
  <c r="Y187" i="30" s="1"/>
  <c r="Z187" i="30" s="1"/>
  <c r="AA187" i="30" s="1"/>
  <c r="AB187" i="30" s="1"/>
  <c r="AC187" i="30" s="1"/>
  <c r="AD187" i="30" s="1"/>
  <c r="AE187" i="30" s="1"/>
  <c r="AF187" i="30" s="1"/>
  <c r="AG187" i="30" s="1"/>
  <c r="AH187" i="30" s="1"/>
  <c r="AI187" i="30" s="1"/>
  <c r="D177" i="30"/>
  <c r="AJ173" i="30"/>
  <c r="AJ193" i="30"/>
  <c r="D193" i="30" s="1"/>
  <c r="E193" i="30" s="1"/>
  <c r="F193" i="30" s="1"/>
  <c r="G193" i="30" s="1"/>
  <c r="H193" i="30" s="1"/>
  <c r="I193" i="30" s="1"/>
  <c r="J193" i="30" s="1"/>
  <c r="K193" i="30" s="1"/>
  <c r="L193" i="30" s="1"/>
  <c r="M193" i="30" s="1"/>
  <c r="N193" i="30" s="1"/>
  <c r="O193" i="30" s="1"/>
  <c r="P193" i="30" s="1"/>
  <c r="Q193" i="30" s="1"/>
  <c r="R193" i="30" s="1"/>
  <c r="S193" i="30" s="1"/>
  <c r="T193" i="30" s="1"/>
  <c r="U193" i="30" s="1"/>
  <c r="V193" i="30" s="1"/>
  <c r="W193" i="30" s="1"/>
  <c r="X193" i="30" s="1"/>
  <c r="Y193" i="30" s="1"/>
  <c r="Z193" i="30" s="1"/>
  <c r="AA193" i="30" s="1"/>
  <c r="AB193" i="30" s="1"/>
  <c r="AC193" i="30" s="1"/>
  <c r="AD193" i="30" s="1"/>
  <c r="AE193" i="30" s="1"/>
  <c r="AF193" i="30" s="1"/>
  <c r="AG193" i="30" s="1"/>
  <c r="AH193" i="30" s="1"/>
  <c r="AI193" i="30" s="1"/>
  <c r="AJ207" i="30"/>
  <c r="D207" i="30" s="1"/>
  <c r="E207" i="30" s="1"/>
  <c r="F207" i="30" s="1"/>
  <c r="G207" i="30" s="1"/>
  <c r="H207" i="30" s="1"/>
  <c r="I207" i="30" s="1"/>
  <c r="J207" i="30" s="1"/>
  <c r="K207" i="30" s="1"/>
  <c r="L207" i="30" s="1"/>
  <c r="M207" i="30" s="1"/>
  <c r="N207" i="30" s="1"/>
  <c r="O207" i="30" s="1"/>
  <c r="P207" i="30" s="1"/>
  <c r="Q207" i="30" s="1"/>
  <c r="R207" i="30" s="1"/>
  <c r="S207" i="30" s="1"/>
  <c r="T207" i="30" s="1"/>
  <c r="U207" i="30" s="1"/>
  <c r="V207" i="30" s="1"/>
  <c r="W207" i="30" s="1"/>
  <c r="X207" i="30" s="1"/>
  <c r="Y207" i="30" s="1"/>
  <c r="Z207" i="30" s="1"/>
  <c r="AA207" i="30" s="1"/>
  <c r="AB207" i="30" s="1"/>
  <c r="AC207" i="30" s="1"/>
  <c r="AD207" i="30" s="1"/>
  <c r="AE207" i="30" s="1"/>
  <c r="AF207" i="30" s="1"/>
  <c r="AG207" i="30" s="1"/>
  <c r="AH207" i="30" s="1"/>
  <c r="AI207" i="30" s="1"/>
  <c r="C258" i="30"/>
  <c r="D252" i="30"/>
  <c r="C252" i="30"/>
  <c r="D250" i="30"/>
  <c r="E250" i="30"/>
  <c r="F250" i="30"/>
  <c r="G250" i="30"/>
  <c r="H250" i="30"/>
  <c r="I250" i="30"/>
  <c r="J250" i="30"/>
  <c r="K250" i="30"/>
  <c r="L250" i="30"/>
  <c r="M250" i="30"/>
  <c r="N250" i="30"/>
  <c r="O250" i="30"/>
  <c r="P250" i="30"/>
  <c r="Q250" i="30"/>
  <c r="R250" i="30"/>
  <c r="S250" i="30"/>
  <c r="T250" i="30"/>
  <c r="U250" i="30"/>
  <c r="V250" i="30"/>
  <c r="W250" i="30"/>
  <c r="X250" i="30"/>
  <c r="Y250" i="30"/>
  <c r="Z250" i="30"/>
  <c r="AA250" i="30"/>
  <c r="AB250" i="30"/>
  <c r="AC250" i="30"/>
  <c r="AD250" i="30"/>
  <c r="AE250" i="30"/>
  <c r="AF250" i="30"/>
  <c r="AG250" i="30"/>
  <c r="AH250" i="30"/>
  <c r="AI250" i="30"/>
  <c r="AJ250" i="30"/>
  <c r="C250" i="30"/>
  <c r="AJ183" i="30"/>
  <c r="C183" i="30"/>
  <c r="BT24" i="39"/>
  <c r="BW84" i="39"/>
  <c r="BW85" i="39"/>
  <c r="BW86" i="39"/>
  <c r="BW87" i="39"/>
  <c r="BW88" i="39"/>
  <c r="BW89" i="39"/>
  <c r="BW90" i="39"/>
  <c r="BW91" i="39"/>
  <c r="BW92" i="39"/>
  <c r="BW93" i="39"/>
  <c r="BW94" i="39"/>
  <c r="BW95" i="39"/>
  <c r="BW96" i="39"/>
  <c r="BW97" i="39"/>
  <c r="BW98" i="39"/>
  <c r="BW99" i="39"/>
  <c r="BW100" i="39"/>
  <c r="BW101" i="39"/>
  <c r="BW102" i="39"/>
  <c r="BW103" i="39"/>
  <c r="BW104" i="39"/>
  <c r="BW105" i="39"/>
  <c r="BW83" i="39"/>
  <c r="BW77" i="39"/>
  <c r="BW78" i="39"/>
  <c r="BW79" i="39"/>
  <c r="BW80" i="39"/>
  <c r="BW81" i="39"/>
  <c r="BW82" i="39"/>
  <c r="BW76" i="39"/>
  <c r="BW71" i="39"/>
  <c r="BW72" i="39"/>
  <c r="BW73" i="39"/>
  <c r="BW74" i="39"/>
  <c r="BW75" i="39"/>
  <c r="BW70" i="39"/>
  <c r="BW69" i="39"/>
  <c r="BW56" i="39"/>
  <c r="BW57" i="39"/>
  <c r="BW58" i="39"/>
  <c r="BW59" i="39"/>
  <c r="BW60" i="39"/>
  <c r="BW61" i="39"/>
  <c r="BW62" i="39"/>
  <c r="BW63" i="39"/>
  <c r="BW64" i="39"/>
  <c r="BW65" i="39"/>
  <c r="BW66" i="39"/>
  <c r="BW67" i="39"/>
  <c r="BW68" i="39"/>
  <c r="BW55" i="39"/>
  <c r="BW54" i="39"/>
  <c r="BW51" i="39"/>
  <c r="BW52" i="39"/>
  <c r="BW53" i="39"/>
  <c r="BW50" i="39"/>
  <c r="BW25" i="39"/>
  <c r="BW26" i="39"/>
  <c r="BW27" i="39"/>
  <c r="BW28" i="39"/>
  <c r="BW29" i="39"/>
  <c r="BW30" i="39"/>
  <c r="BW31" i="39"/>
  <c r="BW32" i="39"/>
  <c r="BW33" i="39"/>
  <c r="BW34" i="39"/>
  <c r="BW35" i="39"/>
  <c r="BW36" i="39"/>
  <c r="BW37" i="39"/>
  <c r="BW38" i="39"/>
  <c r="BW39" i="39"/>
  <c r="BW40" i="39"/>
  <c r="BW41" i="39"/>
  <c r="BW42" i="39"/>
  <c r="BW43" i="39"/>
  <c r="BW44" i="39"/>
  <c r="BW45" i="39"/>
  <c r="BW46" i="39"/>
  <c r="BW47" i="39"/>
  <c r="BW48" i="39"/>
  <c r="BW49" i="39"/>
  <c r="BW24" i="39"/>
  <c r="E177" i="30" l="1"/>
  <c r="D258" i="30"/>
  <c r="D183" i="30"/>
  <c r="AJ210" i="30"/>
  <c r="E183" i="30"/>
  <c r="DC73" i="39"/>
  <c r="CD24" i="39"/>
  <c r="DC24" i="39" s="1"/>
  <c r="CD50" i="39"/>
  <c r="BR50" i="39"/>
  <c r="CD25" i="39"/>
  <c r="DC25" i="39" s="1"/>
  <c r="CD26" i="39"/>
  <c r="DC26" i="39" s="1"/>
  <c r="CD27" i="39"/>
  <c r="DC27" i="39" s="1"/>
  <c r="CD28" i="39"/>
  <c r="DC28" i="39" s="1"/>
  <c r="CD29" i="39"/>
  <c r="DC29" i="39" s="1"/>
  <c r="CD30" i="39"/>
  <c r="DC30" i="39" s="1"/>
  <c r="CD31" i="39"/>
  <c r="DC31" i="39" s="1"/>
  <c r="CD32" i="39"/>
  <c r="DC32" i="39" s="1"/>
  <c r="CD33" i="39"/>
  <c r="DC33" i="39" s="1"/>
  <c r="CD34" i="39"/>
  <c r="DC34" i="39" s="1"/>
  <c r="CD35" i="39"/>
  <c r="DC35" i="39" s="1"/>
  <c r="CD36" i="39"/>
  <c r="DC36" i="39" s="1"/>
  <c r="CD37" i="39"/>
  <c r="DC37" i="39" s="1"/>
  <c r="CD38" i="39"/>
  <c r="DC38" i="39" s="1"/>
  <c r="CD39" i="39"/>
  <c r="DC39" i="39" s="1"/>
  <c r="CD40" i="39"/>
  <c r="DC40" i="39" s="1"/>
  <c r="CD41" i="39"/>
  <c r="DC41" i="39" s="1"/>
  <c r="CD42" i="39"/>
  <c r="DC42" i="39" s="1"/>
  <c r="CD43" i="39"/>
  <c r="DC43" i="39" s="1"/>
  <c r="CD44" i="39"/>
  <c r="DC44" i="39" s="1"/>
  <c r="CD45" i="39"/>
  <c r="DC45" i="39" s="1"/>
  <c r="CD46" i="39"/>
  <c r="DC46" i="39" s="1"/>
  <c r="CD47" i="39"/>
  <c r="DC47" i="39" s="1"/>
  <c r="CD48" i="39"/>
  <c r="DC48" i="39" s="1"/>
  <c r="CD49" i="39"/>
  <c r="DC49" i="39" s="1"/>
  <c r="CE50" i="39"/>
  <c r="DD50" i="39" s="1"/>
  <c r="R215" i="39" s="1"/>
  <c r="CD51" i="39"/>
  <c r="DC51" i="39" s="1"/>
  <c r="Q216" i="39" s="1"/>
  <c r="CD52" i="39"/>
  <c r="CD53" i="39"/>
  <c r="CD54" i="39"/>
  <c r="DC54" i="39" s="1"/>
  <c r="Q219" i="39" s="1"/>
  <c r="CD55" i="39"/>
  <c r="DC55" i="39" s="1"/>
  <c r="CD56" i="39"/>
  <c r="DC56" i="39" s="1"/>
  <c r="CD57" i="39"/>
  <c r="DC57" i="39" s="1"/>
  <c r="CD58" i="39"/>
  <c r="DC58" i="39" s="1"/>
  <c r="CD59" i="39"/>
  <c r="DC59" i="39" s="1"/>
  <c r="CD60" i="39"/>
  <c r="DC60" i="39" s="1"/>
  <c r="CD61" i="39"/>
  <c r="DC61" i="39" s="1"/>
  <c r="CD62" i="39"/>
  <c r="DC62" i="39" s="1"/>
  <c r="CD63" i="39"/>
  <c r="DC63" i="39" s="1"/>
  <c r="CD64" i="39"/>
  <c r="DC64" i="39" s="1"/>
  <c r="CD65" i="39"/>
  <c r="DC65" i="39" s="1"/>
  <c r="CD66" i="39"/>
  <c r="DC66" i="39" s="1"/>
  <c r="CD67" i="39"/>
  <c r="DC67" i="39" s="1"/>
  <c r="CD68" i="39"/>
  <c r="DC68" i="39" s="1"/>
  <c r="CD69" i="39"/>
  <c r="CD70" i="39"/>
  <c r="DC70" i="39" s="1"/>
  <c r="CD71" i="39"/>
  <c r="DC71" i="39" s="1"/>
  <c r="CD72" i="39"/>
  <c r="DC72" i="39" s="1"/>
  <c r="CD73" i="39"/>
  <c r="CD74" i="39"/>
  <c r="DC74" i="39" s="1"/>
  <c r="CD75" i="39"/>
  <c r="DC75" i="39" s="1"/>
  <c r="CD76" i="39"/>
  <c r="CD77" i="39"/>
  <c r="CD78" i="39"/>
  <c r="DC78" i="39" s="1"/>
  <c r="CD79" i="39"/>
  <c r="DC79" i="39" s="1"/>
  <c r="CD80" i="39"/>
  <c r="DC80" i="39" s="1"/>
  <c r="CD81" i="39"/>
  <c r="CD82" i="39"/>
  <c r="CD83" i="39"/>
  <c r="DC83" i="39" s="1"/>
  <c r="CD84" i="39"/>
  <c r="DC84" i="39" s="1"/>
  <c r="CD85" i="39"/>
  <c r="DC85" i="39" s="1"/>
  <c r="CD86" i="39"/>
  <c r="DC86" i="39" s="1"/>
  <c r="CD87" i="39"/>
  <c r="DC87" i="39" s="1"/>
  <c r="CD88" i="39"/>
  <c r="DC88" i="39" s="1"/>
  <c r="CD89" i="39"/>
  <c r="DC89" i="39" s="1"/>
  <c r="CD90" i="39"/>
  <c r="DC90" i="39" s="1"/>
  <c r="CD91" i="39"/>
  <c r="DC91" i="39" s="1"/>
  <c r="CD92" i="39"/>
  <c r="DC92" i="39" s="1"/>
  <c r="CD93" i="39"/>
  <c r="DC93" i="39" s="1"/>
  <c r="CD94" i="39"/>
  <c r="DC94" i="39" s="1"/>
  <c r="CD95" i="39"/>
  <c r="DC95" i="39" s="1"/>
  <c r="CD96" i="39"/>
  <c r="DC96" i="39" s="1"/>
  <c r="CD97" i="39"/>
  <c r="DC97" i="39" s="1"/>
  <c r="CD98" i="39"/>
  <c r="DC98" i="39" s="1"/>
  <c r="CD99" i="39"/>
  <c r="DC99" i="39" s="1"/>
  <c r="CD100" i="39"/>
  <c r="DC100" i="39" s="1"/>
  <c r="CD101" i="39"/>
  <c r="DC101" i="39" s="1"/>
  <c r="CD102" i="39"/>
  <c r="DC102" i="39" s="1"/>
  <c r="CD103" i="39"/>
  <c r="DC103" i="39" s="1"/>
  <c r="CD104" i="39"/>
  <c r="DC104" i="39" s="1"/>
  <c r="CD105" i="39"/>
  <c r="CG24" i="39"/>
  <c r="DF24" i="39" s="1"/>
  <c r="BQ105" i="39"/>
  <c r="BP105" i="39"/>
  <c r="CC105" i="39" s="1"/>
  <c r="F177" i="30" l="1"/>
  <c r="F183" i="30"/>
  <c r="AI193" i="28"/>
  <c r="AH193" i="28"/>
  <c r="AG193" i="28"/>
  <c r="AF193" i="28"/>
  <c r="AE193" i="28"/>
  <c r="AD193" i="28"/>
  <c r="AC193" i="28"/>
  <c r="AB193" i="28"/>
  <c r="AA193" i="28"/>
  <c r="Z193" i="28"/>
  <c r="Y193" i="28"/>
  <c r="X193" i="28"/>
  <c r="W193" i="28"/>
  <c r="V193" i="28"/>
  <c r="U193" i="28"/>
  <c r="T193" i="28"/>
  <c r="S193" i="28"/>
  <c r="R193" i="28"/>
  <c r="Q193" i="28"/>
  <c r="P193" i="28"/>
  <c r="O193" i="28"/>
  <c r="N193" i="28"/>
  <c r="M193" i="28"/>
  <c r="L193" i="28"/>
  <c r="K193" i="28"/>
  <c r="J193" i="28"/>
  <c r="I193" i="28"/>
  <c r="H193" i="28"/>
  <c r="G193" i="28"/>
  <c r="F193" i="28"/>
  <c r="E193" i="28"/>
  <c r="D193" i="28"/>
  <c r="C193" i="28"/>
  <c r="AI192" i="28"/>
  <c r="AH192" i="28"/>
  <c r="AG192" i="28"/>
  <c r="AF192" i="28"/>
  <c r="AE192" i="28"/>
  <c r="AD192" i="28"/>
  <c r="AC192" i="28"/>
  <c r="AB192" i="28"/>
  <c r="AA192" i="28"/>
  <c r="Z192" i="28"/>
  <c r="Y192" i="28"/>
  <c r="X192" i="28"/>
  <c r="W192" i="28"/>
  <c r="V192" i="28"/>
  <c r="U192" i="28"/>
  <c r="T192" i="28"/>
  <c r="S192" i="28"/>
  <c r="R192" i="28"/>
  <c r="Q192" i="28"/>
  <c r="P192" i="28"/>
  <c r="O192" i="28"/>
  <c r="N192" i="28"/>
  <c r="M192" i="28"/>
  <c r="L192" i="28"/>
  <c r="K192" i="28"/>
  <c r="J192" i="28"/>
  <c r="I192" i="28"/>
  <c r="H192" i="28"/>
  <c r="G192" i="28"/>
  <c r="F192" i="28"/>
  <c r="E192" i="28"/>
  <c r="D192" i="28"/>
  <c r="C192" i="28"/>
  <c r="AI191" i="28"/>
  <c r="AH191" i="28"/>
  <c r="AG191" i="28"/>
  <c r="AF191" i="28"/>
  <c r="AE191" i="28"/>
  <c r="AD191" i="28"/>
  <c r="AC191" i="28"/>
  <c r="AB191" i="28"/>
  <c r="AA191" i="28"/>
  <c r="Z191" i="28"/>
  <c r="Y191" i="28"/>
  <c r="X191" i="28"/>
  <c r="W191" i="28"/>
  <c r="V191" i="28"/>
  <c r="U191" i="28"/>
  <c r="T191" i="28"/>
  <c r="S191" i="28"/>
  <c r="R191" i="28"/>
  <c r="Q191" i="28"/>
  <c r="P191" i="28"/>
  <c r="O191" i="28"/>
  <c r="N191" i="28"/>
  <c r="M191" i="28"/>
  <c r="L191" i="28"/>
  <c r="K191" i="28"/>
  <c r="J191" i="28"/>
  <c r="I191" i="28"/>
  <c r="H191" i="28"/>
  <c r="G191" i="28"/>
  <c r="F191" i="28"/>
  <c r="E191" i="28"/>
  <c r="D191" i="28"/>
  <c r="C191" i="28"/>
  <c r="AI190" i="28"/>
  <c r="AH190" i="28"/>
  <c r="AG190" i="28"/>
  <c r="AF190" i="28"/>
  <c r="AE190" i="28"/>
  <c r="AD190" i="28"/>
  <c r="AC190" i="28"/>
  <c r="AB190" i="28"/>
  <c r="AA190" i="28"/>
  <c r="Z190" i="28"/>
  <c r="Y190" i="28"/>
  <c r="X190" i="28"/>
  <c r="W190" i="28"/>
  <c r="V190" i="28"/>
  <c r="U190" i="28"/>
  <c r="T190" i="28"/>
  <c r="S190" i="28"/>
  <c r="R190" i="28"/>
  <c r="Q190" i="28"/>
  <c r="P190" i="28"/>
  <c r="O190" i="28"/>
  <c r="N190" i="28"/>
  <c r="M190" i="28"/>
  <c r="L190" i="28"/>
  <c r="K190" i="28"/>
  <c r="J190" i="28"/>
  <c r="I190" i="28"/>
  <c r="H190" i="28"/>
  <c r="G190" i="28"/>
  <c r="F190" i="28"/>
  <c r="E190" i="28"/>
  <c r="D190" i="28"/>
  <c r="C190" i="28"/>
  <c r="AI189" i="28"/>
  <c r="AH189" i="28"/>
  <c r="AG189" i="28"/>
  <c r="AF189" i="28"/>
  <c r="AE189" i="28"/>
  <c r="AD189" i="28"/>
  <c r="AC189" i="28"/>
  <c r="AB189" i="28"/>
  <c r="AA189" i="28"/>
  <c r="Z189" i="28"/>
  <c r="Y189" i="28"/>
  <c r="X189" i="28"/>
  <c r="W189" i="28"/>
  <c r="V189" i="28"/>
  <c r="U189" i="28"/>
  <c r="T189" i="28"/>
  <c r="S189" i="28"/>
  <c r="R189" i="28"/>
  <c r="Q189" i="28"/>
  <c r="P189" i="28"/>
  <c r="O189" i="28"/>
  <c r="N189" i="28"/>
  <c r="M189" i="28"/>
  <c r="L189" i="28"/>
  <c r="K189" i="28"/>
  <c r="J189" i="28"/>
  <c r="I189" i="28"/>
  <c r="H189" i="28"/>
  <c r="G189" i="28"/>
  <c r="F189" i="28"/>
  <c r="E189" i="28"/>
  <c r="D189" i="28"/>
  <c r="C189" i="28"/>
  <c r="AI188" i="28"/>
  <c r="AH188" i="28"/>
  <c r="AG188" i="28"/>
  <c r="AF188" i="28"/>
  <c r="AE188" i="28"/>
  <c r="AD188" i="28"/>
  <c r="AC188" i="28"/>
  <c r="AB188" i="28"/>
  <c r="AA188" i="28"/>
  <c r="Z188" i="28"/>
  <c r="Y188" i="28"/>
  <c r="X188" i="28"/>
  <c r="W188" i="28"/>
  <c r="V188" i="28"/>
  <c r="U188" i="28"/>
  <c r="T188" i="28"/>
  <c r="S188" i="28"/>
  <c r="R188" i="28"/>
  <c r="Q188" i="28"/>
  <c r="P188" i="28"/>
  <c r="O188" i="28"/>
  <c r="N188" i="28"/>
  <c r="M188" i="28"/>
  <c r="L188" i="28"/>
  <c r="K188" i="28"/>
  <c r="J188" i="28"/>
  <c r="I188" i="28"/>
  <c r="H188" i="28"/>
  <c r="G188" i="28"/>
  <c r="F188" i="28"/>
  <c r="E188" i="28"/>
  <c r="D188" i="28"/>
  <c r="C188" i="28"/>
  <c r="AI187" i="28"/>
  <c r="AH187" i="28"/>
  <c r="AG187" i="28"/>
  <c r="AF187" i="28"/>
  <c r="AE187" i="28"/>
  <c r="AD187" i="28"/>
  <c r="AC187" i="28"/>
  <c r="AB187" i="28"/>
  <c r="AA187" i="28"/>
  <c r="Z187" i="28"/>
  <c r="Y187" i="28"/>
  <c r="X187" i="28"/>
  <c r="W187" i="28"/>
  <c r="V187" i="28"/>
  <c r="U187" i="28"/>
  <c r="T187" i="28"/>
  <c r="S187" i="28"/>
  <c r="R187" i="28"/>
  <c r="Q187" i="28"/>
  <c r="P187" i="28"/>
  <c r="O187" i="28"/>
  <c r="N187" i="28"/>
  <c r="M187" i="28"/>
  <c r="L187" i="28"/>
  <c r="K187" i="28"/>
  <c r="J187" i="28"/>
  <c r="I187" i="28"/>
  <c r="H187" i="28"/>
  <c r="G187" i="28"/>
  <c r="F187" i="28"/>
  <c r="E187" i="28"/>
  <c r="D187" i="28"/>
  <c r="C187" i="28"/>
  <c r="AI186" i="28"/>
  <c r="AH186" i="28"/>
  <c r="AG186" i="28"/>
  <c r="AF186" i="28"/>
  <c r="AE186" i="28"/>
  <c r="AD186" i="28"/>
  <c r="AC186" i="28"/>
  <c r="AB186" i="28"/>
  <c r="AA186" i="28"/>
  <c r="Z186" i="28"/>
  <c r="Y186" i="28"/>
  <c r="X186" i="28"/>
  <c r="W186" i="28"/>
  <c r="V186" i="28"/>
  <c r="U186" i="28"/>
  <c r="T186" i="28"/>
  <c r="S186" i="28"/>
  <c r="R186" i="28"/>
  <c r="Q186" i="28"/>
  <c r="P186" i="28"/>
  <c r="O186" i="28"/>
  <c r="N186" i="28"/>
  <c r="M186" i="28"/>
  <c r="L186" i="28"/>
  <c r="K186" i="28"/>
  <c r="J186" i="28"/>
  <c r="I186" i="28"/>
  <c r="H186" i="28"/>
  <c r="G186" i="28"/>
  <c r="F186" i="28"/>
  <c r="E186" i="28"/>
  <c r="D186" i="28"/>
  <c r="C186" i="28"/>
  <c r="AI185" i="28"/>
  <c r="AH185" i="28"/>
  <c r="AG185" i="28"/>
  <c r="AF185" i="28"/>
  <c r="AE185" i="28"/>
  <c r="AD185" i="28"/>
  <c r="AC185" i="28"/>
  <c r="AB185" i="28"/>
  <c r="AA185" i="28"/>
  <c r="Z185" i="28"/>
  <c r="Y185" i="28"/>
  <c r="X185" i="28"/>
  <c r="W185" i="28"/>
  <c r="V185" i="28"/>
  <c r="U185" i="28"/>
  <c r="T185" i="28"/>
  <c r="S185" i="28"/>
  <c r="R185" i="28"/>
  <c r="Q185" i="28"/>
  <c r="P185" i="28"/>
  <c r="O185" i="28"/>
  <c r="N185" i="28"/>
  <c r="M185" i="28"/>
  <c r="L185" i="28"/>
  <c r="K185" i="28"/>
  <c r="J185" i="28"/>
  <c r="I185" i="28"/>
  <c r="H185" i="28"/>
  <c r="G185" i="28"/>
  <c r="F185" i="28"/>
  <c r="E185" i="28"/>
  <c r="D185" i="28"/>
  <c r="C185" i="28"/>
  <c r="B190" i="28"/>
  <c r="B191" i="28"/>
  <c r="B192" i="28"/>
  <c r="B193" i="28"/>
  <c r="B189" i="28"/>
  <c r="B186" i="28"/>
  <c r="B187" i="28"/>
  <c r="B188" i="28"/>
  <c r="B185" i="28"/>
  <c r="AI181" i="28"/>
  <c r="AH181" i="28"/>
  <c r="AG181" i="28"/>
  <c r="AF181" i="28"/>
  <c r="AE181" i="28"/>
  <c r="AD181" i="28"/>
  <c r="AC181" i="28"/>
  <c r="AB181" i="28"/>
  <c r="AA181" i="28"/>
  <c r="Z181" i="28"/>
  <c r="Y181" i="28"/>
  <c r="X181" i="28"/>
  <c r="W181" i="28"/>
  <c r="V181" i="28"/>
  <c r="U181" i="28"/>
  <c r="T181" i="28"/>
  <c r="S181" i="28"/>
  <c r="R181" i="28"/>
  <c r="Q181" i="28"/>
  <c r="P181" i="28"/>
  <c r="O181" i="28"/>
  <c r="N181" i="28"/>
  <c r="M181" i="28"/>
  <c r="L181" i="28"/>
  <c r="K181" i="28"/>
  <c r="J181" i="28"/>
  <c r="I181" i="28"/>
  <c r="H181" i="28"/>
  <c r="G181" i="28"/>
  <c r="F181" i="28"/>
  <c r="E181" i="28"/>
  <c r="D181" i="28"/>
  <c r="C181" i="28"/>
  <c r="AI180" i="28"/>
  <c r="AH180" i="28"/>
  <c r="AG180" i="28"/>
  <c r="AF180" i="28"/>
  <c r="AE180" i="28"/>
  <c r="AD180" i="28"/>
  <c r="AC180" i="28"/>
  <c r="AB180" i="28"/>
  <c r="AA180" i="28"/>
  <c r="Z180" i="28"/>
  <c r="Y180" i="28"/>
  <c r="X180" i="28"/>
  <c r="W180" i="28"/>
  <c r="V180" i="28"/>
  <c r="U180" i="28"/>
  <c r="T180" i="28"/>
  <c r="S180" i="28"/>
  <c r="R180" i="28"/>
  <c r="Q180" i="28"/>
  <c r="P180" i="28"/>
  <c r="O180" i="28"/>
  <c r="N180" i="28"/>
  <c r="M180" i="28"/>
  <c r="L180" i="28"/>
  <c r="K180" i="28"/>
  <c r="J180" i="28"/>
  <c r="I180" i="28"/>
  <c r="H180" i="28"/>
  <c r="G180" i="28"/>
  <c r="F180" i="28"/>
  <c r="E180" i="28"/>
  <c r="D180" i="28"/>
  <c r="C180" i="28"/>
  <c r="AI179" i="28"/>
  <c r="AH179" i="28"/>
  <c r="AG179" i="28"/>
  <c r="AF179" i="28"/>
  <c r="AE179" i="28"/>
  <c r="AD179" i="28"/>
  <c r="AC179" i="28"/>
  <c r="AB179" i="28"/>
  <c r="AA179" i="28"/>
  <c r="Z179" i="28"/>
  <c r="Y179" i="28"/>
  <c r="X179" i="28"/>
  <c r="W179" i="28"/>
  <c r="V179" i="28"/>
  <c r="U179" i="28"/>
  <c r="T179" i="28"/>
  <c r="S179" i="28"/>
  <c r="R179" i="28"/>
  <c r="Q179" i="28"/>
  <c r="P179" i="28"/>
  <c r="O179" i="28"/>
  <c r="N179" i="28"/>
  <c r="M179" i="28"/>
  <c r="L179" i="28"/>
  <c r="K179" i="28"/>
  <c r="J179" i="28"/>
  <c r="I179" i="28"/>
  <c r="H179" i="28"/>
  <c r="G179" i="28"/>
  <c r="F179" i="28"/>
  <c r="E179" i="28"/>
  <c r="D179" i="28"/>
  <c r="C179" i="28"/>
  <c r="AI178" i="28"/>
  <c r="AH178" i="28"/>
  <c r="AG178" i="28"/>
  <c r="AF178" i="28"/>
  <c r="AE178" i="28"/>
  <c r="AD178" i="28"/>
  <c r="AC178" i="28"/>
  <c r="AB178" i="28"/>
  <c r="AA178" i="28"/>
  <c r="Z178" i="28"/>
  <c r="Y178" i="28"/>
  <c r="X178" i="28"/>
  <c r="W178" i="28"/>
  <c r="V178" i="28"/>
  <c r="U178" i="28"/>
  <c r="T178" i="28"/>
  <c r="S178" i="28"/>
  <c r="R178" i="28"/>
  <c r="Q178" i="28"/>
  <c r="P178" i="28"/>
  <c r="O178" i="28"/>
  <c r="N178" i="28"/>
  <c r="M178" i="28"/>
  <c r="L178" i="28"/>
  <c r="K178" i="28"/>
  <c r="J178" i="28"/>
  <c r="I178" i="28"/>
  <c r="H178" i="28"/>
  <c r="G178" i="28"/>
  <c r="F178" i="28"/>
  <c r="E178" i="28"/>
  <c r="D178" i="28"/>
  <c r="C178" i="28"/>
  <c r="AI177" i="28"/>
  <c r="AH177" i="28"/>
  <c r="AG177" i="28"/>
  <c r="AF177" i="28"/>
  <c r="AE177" i="28"/>
  <c r="AD177" i="28"/>
  <c r="AC177" i="28"/>
  <c r="AB177" i="28"/>
  <c r="AA177" i="28"/>
  <c r="Z177" i="28"/>
  <c r="Y177" i="28"/>
  <c r="X177" i="28"/>
  <c r="W177" i="28"/>
  <c r="V177" i="28"/>
  <c r="U177" i="28"/>
  <c r="T177" i="28"/>
  <c r="S177" i="28"/>
  <c r="R177" i="28"/>
  <c r="Q177" i="28"/>
  <c r="P177" i="28"/>
  <c r="O177" i="28"/>
  <c r="N177" i="28"/>
  <c r="M177" i="28"/>
  <c r="L177" i="28"/>
  <c r="K177" i="28"/>
  <c r="J177" i="28"/>
  <c r="I177" i="28"/>
  <c r="H177" i="28"/>
  <c r="G177" i="28"/>
  <c r="F177" i="28"/>
  <c r="E177" i="28"/>
  <c r="D177" i="28"/>
  <c r="C177" i="28"/>
  <c r="AI176" i="28"/>
  <c r="AH176" i="28"/>
  <c r="AG176" i="28"/>
  <c r="AF176" i="28"/>
  <c r="AE176" i="28"/>
  <c r="AD176" i="28"/>
  <c r="AC176" i="28"/>
  <c r="AB176" i="28"/>
  <c r="AA176" i="28"/>
  <c r="Z176" i="28"/>
  <c r="Y176" i="28"/>
  <c r="X176" i="28"/>
  <c r="W176" i="28"/>
  <c r="V176" i="28"/>
  <c r="U176" i="28"/>
  <c r="T176" i="28"/>
  <c r="S176" i="28"/>
  <c r="R176" i="28"/>
  <c r="Q176" i="28"/>
  <c r="P176" i="28"/>
  <c r="O176" i="28"/>
  <c r="N176" i="28"/>
  <c r="M176" i="28"/>
  <c r="L176" i="28"/>
  <c r="K176" i="28"/>
  <c r="J176" i="28"/>
  <c r="I176" i="28"/>
  <c r="H176" i="28"/>
  <c r="G176" i="28"/>
  <c r="F176" i="28"/>
  <c r="E176" i="28"/>
  <c r="D176" i="28"/>
  <c r="C176" i="28"/>
  <c r="AI175" i="28"/>
  <c r="AH175" i="28"/>
  <c r="AG175" i="28"/>
  <c r="AF175" i="28"/>
  <c r="AE175" i="28"/>
  <c r="AD175" i="28"/>
  <c r="AC175" i="28"/>
  <c r="AB175" i="28"/>
  <c r="AA175" i="28"/>
  <c r="Z175" i="28"/>
  <c r="Y175" i="28"/>
  <c r="X175" i="28"/>
  <c r="W175" i="28"/>
  <c r="V175" i="28"/>
  <c r="U175" i="28"/>
  <c r="T175" i="28"/>
  <c r="S175" i="28"/>
  <c r="R175" i="28"/>
  <c r="Q175" i="28"/>
  <c r="P175" i="28"/>
  <c r="O175" i="28"/>
  <c r="N175" i="28"/>
  <c r="M175" i="28"/>
  <c r="L175" i="28"/>
  <c r="K175" i="28"/>
  <c r="J175" i="28"/>
  <c r="I175" i="28"/>
  <c r="H175" i="28"/>
  <c r="G175" i="28"/>
  <c r="F175" i="28"/>
  <c r="E175" i="28"/>
  <c r="D175" i="28"/>
  <c r="C175" i="28"/>
  <c r="AI174" i="28"/>
  <c r="AH174" i="28"/>
  <c r="AG174" i="28"/>
  <c r="AF174" i="28"/>
  <c r="AE174" i="28"/>
  <c r="AD174" i="28"/>
  <c r="AC174" i="28"/>
  <c r="AB174" i="28"/>
  <c r="AA174" i="28"/>
  <c r="Z174" i="28"/>
  <c r="Y174" i="28"/>
  <c r="X174" i="28"/>
  <c r="W174" i="28"/>
  <c r="V174" i="28"/>
  <c r="U174" i="28"/>
  <c r="T174" i="28"/>
  <c r="S174" i="28"/>
  <c r="R174" i="28"/>
  <c r="Q174" i="28"/>
  <c r="P174" i="28"/>
  <c r="O174" i="28"/>
  <c r="N174" i="28"/>
  <c r="M174" i="28"/>
  <c r="L174" i="28"/>
  <c r="K174" i="28"/>
  <c r="J174" i="28"/>
  <c r="I174" i="28"/>
  <c r="H174" i="28"/>
  <c r="G174" i="28"/>
  <c r="F174" i="28"/>
  <c r="E174" i="28"/>
  <c r="D174" i="28"/>
  <c r="C174" i="28"/>
  <c r="AI173" i="28"/>
  <c r="AH173" i="28"/>
  <c r="AG173" i="28"/>
  <c r="AF173" i="28"/>
  <c r="AE173" i="28"/>
  <c r="AD173" i="28"/>
  <c r="AC173" i="28"/>
  <c r="AB173" i="28"/>
  <c r="AA173" i="28"/>
  <c r="Z173" i="28"/>
  <c r="Y173" i="28"/>
  <c r="X173" i="28"/>
  <c r="W173" i="28"/>
  <c r="V173" i="28"/>
  <c r="U173" i="28"/>
  <c r="T173" i="28"/>
  <c r="S173" i="28"/>
  <c r="R173" i="28"/>
  <c r="Q173" i="28"/>
  <c r="P173" i="28"/>
  <c r="O173" i="28"/>
  <c r="N173" i="28"/>
  <c r="M173" i="28"/>
  <c r="L173" i="28"/>
  <c r="K173" i="28"/>
  <c r="J173" i="28"/>
  <c r="I173" i="28"/>
  <c r="H173" i="28"/>
  <c r="G173" i="28"/>
  <c r="F173" i="28"/>
  <c r="E173" i="28"/>
  <c r="D173" i="28"/>
  <c r="C173" i="28"/>
  <c r="B178" i="28"/>
  <c r="B179" i="28"/>
  <c r="B180" i="28"/>
  <c r="B181" i="28"/>
  <c r="B177" i="28"/>
  <c r="B174" i="28"/>
  <c r="B175" i="28"/>
  <c r="B176" i="28"/>
  <c r="B173" i="28"/>
  <c r="AI169" i="28"/>
  <c r="AH169" i="28"/>
  <c r="AG169" i="28"/>
  <c r="AF169" i="28"/>
  <c r="AE169" i="28"/>
  <c r="AD169" i="28"/>
  <c r="AC169" i="28"/>
  <c r="AB169" i="28"/>
  <c r="AA169" i="28"/>
  <c r="Z169" i="28"/>
  <c r="Y169" i="28"/>
  <c r="X169" i="28"/>
  <c r="W169" i="28"/>
  <c r="V169" i="28"/>
  <c r="U169" i="28"/>
  <c r="T169" i="28"/>
  <c r="S169" i="28"/>
  <c r="R169" i="28"/>
  <c r="Q169" i="28"/>
  <c r="P169" i="28"/>
  <c r="O169" i="28"/>
  <c r="N169" i="28"/>
  <c r="M169" i="28"/>
  <c r="L169" i="28"/>
  <c r="K169" i="28"/>
  <c r="J169" i="28"/>
  <c r="I169" i="28"/>
  <c r="H169" i="28"/>
  <c r="G169" i="28"/>
  <c r="F169" i="28"/>
  <c r="E169" i="28"/>
  <c r="D169" i="28"/>
  <c r="C169" i="28"/>
  <c r="AI168" i="28"/>
  <c r="AH168" i="28"/>
  <c r="AG168" i="28"/>
  <c r="AF168" i="28"/>
  <c r="AE168" i="28"/>
  <c r="AD168" i="28"/>
  <c r="AC168" i="28"/>
  <c r="AB168" i="28"/>
  <c r="AA168" i="28"/>
  <c r="Z168" i="28"/>
  <c r="Y168" i="28"/>
  <c r="X168" i="28"/>
  <c r="W168" i="28"/>
  <c r="V168" i="28"/>
  <c r="U168" i="28"/>
  <c r="T168" i="28"/>
  <c r="S168" i="28"/>
  <c r="R168" i="28"/>
  <c r="Q168" i="28"/>
  <c r="P168" i="28"/>
  <c r="O168" i="28"/>
  <c r="N168" i="28"/>
  <c r="M168" i="28"/>
  <c r="L168" i="28"/>
  <c r="K168" i="28"/>
  <c r="J168" i="28"/>
  <c r="I168" i="28"/>
  <c r="H168" i="28"/>
  <c r="G168" i="28"/>
  <c r="F168" i="28"/>
  <c r="E168" i="28"/>
  <c r="D168" i="28"/>
  <c r="C168" i="28"/>
  <c r="AI167" i="28"/>
  <c r="AH167" i="28"/>
  <c r="AG167" i="28"/>
  <c r="AF167" i="28"/>
  <c r="AE167" i="28"/>
  <c r="AD167" i="28"/>
  <c r="AC167" i="28"/>
  <c r="AB167" i="28"/>
  <c r="AA167" i="28"/>
  <c r="Z167" i="28"/>
  <c r="Y167" i="28"/>
  <c r="X167" i="28"/>
  <c r="W167" i="28"/>
  <c r="V167" i="28"/>
  <c r="U167" i="28"/>
  <c r="T167" i="28"/>
  <c r="S167" i="28"/>
  <c r="R167" i="28"/>
  <c r="Q167" i="28"/>
  <c r="P167" i="28"/>
  <c r="O167" i="28"/>
  <c r="N167" i="28"/>
  <c r="M167" i="28"/>
  <c r="L167" i="28"/>
  <c r="K167" i="28"/>
  <c r="J167" i="28"/>
  <c r="I167" i="28"/>
  <c r="H167" i="28"/>
  <c r="G167" i="28"/>
  <c r="F167" i="28"/>
  <c r="E167" i="28"/>
  <c r="D167" i="28"/>
  <c r="C167" i="28"/>
  <c r="AI166" i="28"/>
  <c r="AH166" i="28"/>
  <c r="AG166" i="28"/>
  <c r="AF166" i="28"/>
  <c r="AE166" i="28"/>
  <c r="AD166" i="28"/>
  <c r="AC166" i="28"/>
  <c r="AB166" i="28"/>
  <c r="AA166" i="28"/>
  <c r="Z166" i="28"/>
  <c r="Y166" i="28"/>
  <c r="X166" i="28"/>
  <c r="W166" i="28"/>
  <c r="V166" i="28"/>
  <c r="U166" i="28"/>
  <c r="T166" i="28"/>
  <c r="S166" i="28"/>
  <c r="R166" i="28"/>
  <c r="Q166" i="28"/>
  <c r="P166" i="28"/>
  <c r="O166" i="28"/>
  <c r="N166" i="28"/>
  <c r="M166" i="28"/>
  <c r="L166" i="28"/>
  <c r="K166" i="28"/>
  <c r="J166" i="28"/>
  <c r="I166" i="28"/>
  <c r="H166" i="28"/>
  <c r="G166" i="28"/>
  <c r="F166" i="28"/>
  <c r="E166" i="28"/>
  <c r="D166" i="28"/>
  <c r="C166" i="28"/>
  <c r="AI165" i="28"/>
  <c r="AH165" i="28"/>
  <c r="AG165" i="28"/>
  <c r="AF165" i="28"/>
  <c r="AE165" i="28"/>
  <c r="AD165" i="28"/>
  <c r="AC165" i="28"/>
  <c r="AB165" i="28"/>
  <c r="AA165" i="28"/>
  <c r="Z165" i="28"/>
  <c r="Y165" i="28"/>
  <c r="X165" i="28"/>
  <c r="W165" i="28"/>
  <c r="V165" i="28"/>
  <c r="U165" i="28"/>
  <c r="T165" i="28"/>
  <c r="S165" i="28"/>
  <c r="R165" i="28"/>
  <c r="Q165" i="28"/>
  <c r="P165" i="28"/>
  <c r="O165" i="28"/>
  <c r="N165" i="28"/>
  <c r="M165" i="28"/>
  <c r="L165" i="28"/>
  <c r="K165" i="28"/>
  <c r="J165" i="28"/>
  <c r="I165" i="28"/>
  <c r="H165" i="28"/>
  <c r="G165" i="28"/>
  <c r="F165" i="28"/>
  <c r="E165" i="28"/>
  <c r="D165" i="28"/>
  <c r="C165" i="28"/>
  <c r="AI164" i="28"/>
  <c r="AH164" i="28"/>
  <c r="AG164" i="28"/>
  <c r="AF164" i="28"/>
  <c r="AE164" i="28"/>
  <c r="AD164" i="28"/>
  <c r="AC164" i="28"/>
  <c r="AB164" i="28"/>
  <c r="AA164" i="28"/>
  <c r="Z164" i="28"/>
  <c r="Y164" i="28"/>
  <c r="X164" i="28"/>
  <c r="W164" i="28"/>
  <c r="V164" i="28"/>
  <c r="U164" i="28"/>
  <c r="T164" i="28"/>
  <c r="S164" i="28"/>
  <c r="R164" i="28"/>
  <c r="Q164" i="28"/>
  <c r="P164" i="28"/>
  <c r="O164" i="28"/>
  <c r="N164" i="28"/>
  <c r="M164" i="28"/>
  <c r="L164" i="28"/>
  <c r="K164" i="28"/>
  <c r="J164" i="28"/>
  <c r="I164" i="28"/>
  <c r="H164" i="28"/>
  <c r="G164" i="28"/>
  <c r="F164" i="28"/>
  <c r="E164" i="28"/>
  <c r="D164" i="28"/>
  <c r="C164" i="28"/>
  <c r="AI163" i="28"/>
  <c r="AH163" i="28"/>
  <c r="AG163" i="28"/>
  <c r="AF163" i="28"/>
  <c r="AE163" i="28"/>
  <c r="AD163" i="28"/>
  <c r="AC163" i="28"/>
  <c r="AB163" i="28"/>
  <c r="AA163" i="28"/>
  <c r="Z163" i="28"/>
  <c r="Y163" i="28"/>
  <c r="X163" i="28"/>
  <c r="W163" i="28"/>
  <c r="V163" i="28"/>
  <c r="U163" i="28"/>
  <c r="T163" i="28"/>
  <c r="S163" i="28"/>
  <c r="R163" i="28"/>
  <c r="Q163" i="28"/>
  <c r="P163" i="28"/>
  <c r="O163" i="28"/>
  <c r="N163" i="28"/>
  <c r="M163" i="28"/>
  <c r="L163" i="28"/>
  <c r="K163" i="28"/>
  <c r="J163" i="28"/>
  <c r="I163" i="28"/>
  <c r="H163" i="28"/>
  <c r="G163" i="28"/>
  <c r="F163" i="28"/>
  <c r="E163" i="28"/>
  <c r="D163" i="28"/>
  <c r="C163" i="28"/>
  <c r="AI162" i="28"/>
  <c r="AH162" i="28"/>
  <c r="AG162" i="28"/>
  <c r="AF162" i="28"/>
  <c r="AE162" i="28"/>
  <c r="AD162" i="28"/>
  <c r="AC162" i="28"/>
  <c r="AB162" i="28"/>
  <c r="AA162" i="28"/>
  <c r="Z162" i="28"/>
  <c r="Y162" i="28"/>
  <c r="X162" i="28"/>
  <c r="W162" i="28"/>
  <c r="V162" i="28"/>
  <c r="U162" i="28"/>
  <c r="T162" i="28"/>
  <c r="S162" i="28"/>
  <c r="R162" i="28"/>
  <c r="Q162" i="28"/>
  <c r="P162" i="28"/>
  <c r="O162" i="28"/>
  <c r="N162" i="28"/>
  <c r="M162" i="28"/>
  <c r="L162" i="28"/>
  <c r="K162" i="28"/>
  <c r="J162" i="28"/>
  <c r="I162" i="28"/>
  <c r="H162" i="28"/>
  <c r="G162" i="28"/>
  <c r="F162" i="28"/>
  <c r="E162" i="28"/>
  <c r="D162" i="28"/>
  <c r="C162" i="28"/>
  <c r="AI161" i="28"/>
  <c r="AH161" i="28"/>
  <c r="AG161" i="28"/>
  <c r="AF161" i="28"/>
  <c r="AE161" i="28"/>
  <c r="AD161" i="28"/>
  <c r="AC161" i="28"/>
  <c r="AB161" i="28"/>
  <c r="AA161" i="28"/>
  <c r="Z161" i="28"/>
  <c r="Y161" i="28"/>
  <c r="X161" i="28"/>
  <c r="W161" i="28"/>
  <c r="V161" i="28"/>
  <c r="U161" i="28"/>
  <c r="T161" i="28"/>
  <c r="S161" i="28"/>
  <c r="R161" i="28"/>
  <c r="Q161" i="28"/>
  <c r="P161" i="28"/>
  <c r="O161" i="28"/>
  <c r="N161" i="28"/>
  <c r="M161" i="28"/>
  <c r="L161" i="28"/>
  <c r="K161" i="28"/>
  <c r="J161" i="28"/>
  <c r="I161" i="28"/>
  <c r="H161" i="28"/>
  <c r="G161" i="28"/>
  <c r="F161" i="28"/>
  <c r="E161" i="28"/>
  <c r="D161" i="28"/>
  <c r="C161" i="28"/>
  <c r="B169" i="28"/>
  <c r="B168" i="28"/>
  <c r="B167" i="28"/>
  <c r="B166" i="28"/>
  <c r="C141" i="28"/>
  <c r="C142" i="28"/>
  <c r="B164" i="28"/>
  <c r="B163" i="28"/>
  <c r="B162" i="28"/>
  <c r="B161" i="28"/>
  <c r="D127" i="28"/>
  <c r="C126" i="28"/>
  <c r="B129" i="28"/>
  <c r="B122" i="28"/>
  <c r="B123" i="28"/>
  <c r="B124" i="28"/>
  <c r="B125" i="28"/>
  <c r="B126" i="28"/>
  <c r="B127" i="28"/>
  <c r="B128" i="28"/>
  <c r="B121" i="28"/>
  <c r="B113" i="28"/>
  <c r="G177" i="30" l="1"/>
  <c r="G183" i="30"/>
  <c r="C165" i="30"/>
  <c r="H177" i="30" l="1"/>
  <c r="H183" i="30"/>
  <c r="B355" i="39"/>
  <c r="B433" i="39" s="1"/>
  <c r="D166" i="30"/>
  <c r="E166" i="30" s="1"/>
  <c r="F166" i="30" s="1"/>
  <c r="G166" i="30" s="1"/>
  <c r="H166" i="30" s="1"/>
  <c r="I166" i="30" s="1"/>
  <c r="J166" i="30" s="1"/>
  <c r="K166" i="30" s="1"/>
  <c r="L166" i="30" s="1"/>
  <c r="M166" i="30" s="1"/>
  <c r="N166" i="30" s="1"/>
  <c r="O166" i="30" s="1"/>
  <c r="P166" i="30" s="1"/>
  <c r="Q166" i="30" s="1"/>
  <c r="R166" i="30" s="1"/>
  <c r="S166" i="30" s="1"/>
  <c r="T166" i="30" s="1"/>
  <c r="U166" i="30" s="1"/>
  <c r="V166" i="30" s="1"/>
  <c r="W166" i="30" s="1"/>
  <c r="X166" i="30" s="1"/>
  <c r="Y166" i="30" s="1"/>
  <c r="Z166" i="30" s="1"/>
  <c r="AA166" i="30" s="1"/>
  <c r="AB166" i="30" s="1"/>
  <c r="AC166" i="30" s="1"/>
  <c r="AD166" i="30" s="1"/>
  <c r="AE166" i="30" s="1"/>
  <c r="AF166" i="30" s="1"/>
  <c r="AG166" i="30" s="1"/>
  <c r="AH166" i="30" s="1"/>
  <c r="AI166" i="30" s="1"/>
  <c r="AJ166" i="30" s="1"/>
  <c r="N119" i="25"/>
  <c r="N118" i="25"/>
  <c r="D172" i="30"/>
  <c r="AJ167" i="30"/>
  <c r="D167" i="30" s="1"/>
  <c r="E167" i="30" s="1"/>
  <c r="F167" i="30" s="1"/>
  <c r="G167" i="30" s="1"/>
  <c r="H167" i="30" s="1"/>
  <c r="I167" i="30" s="1"/>
  <c r="J167" i="30" s="1"/>
  <c r="K167" i="30" s="1"/>
  <c r="L167" i="30" s="1"/>
  <c r="M167" i="30" s="1"/>
  <c r="N167" i="30" s="1"/>
  <c r="O167" i="30" s="1"/>
  <c r="P167" i="30" s="1"/>
  <c r="Q167" i="30" s="1"/>
  <c r="R167" i="30" s="1"/>
  <c r="S167" i="30" s="1"/>
  <c r="T167" i="30" s="1"/>
  <c r="U167" i="30" s="1"/>
  <c r="V167" i="30" s="1"/>
  <c r="W167" i="30" s="1"/>
  <c r="X167" i="30" s="1"/>
  <c r="Y167" i="30" s="1"/>
  <c r="Z167" i="30" s="1"/>
  <c r="AA167" i="30" s="1"/>
  <c r="AB167" i="30" s="1"/>
  <c r="AC167" i="30" s="1"/>
  <c r="AD167" i="30" s="1"/>
  <c r="AE167" i="30" s="1"/>
  <c r="AF167" i="30" s="1"/>
  <c r="AG167" i="30" s="1"/>
  <c r="AH167" i="30" s="1"/>
  <c r="AI167" i="30" s="1"/>
  <c r="D168" i="30"/>
  <c r="C141" i="14"/>
  <c r="I177" i="30" l="1"/>
  <c r="I183" i="30"/>
  <c r="AK167" i="30"/>
  <c r="BX76" i="39"/>
  <c r="BR76" i="39" s="1"/>
  <c r="CE76" i="39" s="1"/>
  <c r="DD76" i="39" s="1"/>
  <c r="R221" i="39" s="1"/>
  <c r="BR77" i="39"/>
  <c r="CE77" i="39" s="1"/>
  <c r="DD77" i="39" s="1"/>
  <c r="R222" i="39" s="1"/>
  <c r="BQ76" i="39"/>
  <c r="BR54" i="39"/>
  <c r="CE54" i="39" s="1"/>
  <c r="DD54" i="39" s="1"/>
  <c r="R219" i="39" s="1"/>
  <c r="CJ25" i="39"/>
  <c r="CK25" i="39"/>
  <c r="CJ26" i="39"/>
  <c r="CK26" i="39"/>
  <c r="CJ27" i="39"/>
  <c r="CK27" i="39"/>
  <c r="CJ28" i="39"/>
  <c r="CK28" i="39"/>
  <c r="CJ29" i="39"/>
  <c r="CK29" i="39"/>
  <c r="CJ30" i="39"/>
  <c r="CK30" i="39"/>
  <c r="CJ31" i="39"/>
  <c r="CK31" i="39"/>
  <c r="CJ32" i="39"/>
  <c r="CK32" i="39"/>
  <c r="CJ33" i="39"/>
  <c r="CK33" i="39"/>
  <c r="CJ34" i="39"/>
  <c r="CK34" i="39"/>
  <c r="CJ35" i="39"/>
  <c r="CK35" i="39"/>
  <c r="CJ36" i="39"/>
  <c r="CK36" i="39"/>
  <c r="CJ37" i="39"/>
  <c r="CK37" i="39"/>
  <c r="CJ38" i="39"/>
  <c r="CK38" i="39"/>
  <c r="CJ39" i="39"/>
  <c r="CK39" i="39"/>
  <c r="CJ40" i="39"/>
  <c r="CK40" i="39"/>
  <c r="CJ41" i="39"/>
  <c r="CK41" i="39"/>
  <c r="CJ42" i="39"/>
  <c r="CK42" i="39"/>
  <c r="CJ43" i="39"/>
  <c r="CK43" i="39"/>
  <c r="CJ44" i="39"/>
  <c r="CK44" i="39"/>
  <c r="CJ45" i="39"/>
  <c r="CK45" i="39"/>
  <c r="CJ46" i="39"/>
  <c r="CK46" i="39"/>
  <c r="CJ47" i="39"/>
  <c r="CK47" i="39"/>
  <c r="CJ48" i="39"/>
  <c r="CK48" i="39"/>
  <c r="CJ49" i="39"/>
  <c r="CK49" i="39"/>
  <c r="CJ50" i="39"/>
  <c r="CX50" i="39" s="1"/>
  <c r="CK50" i="39"/>
  <c r="CJ51" i="39"/>
  <c r="CX51" i="39" s="1"/>
  <c r="CK51" i="39"/>
  <c r="CJ52" i="39"/>
  <c r="CX52" i="39" s="1"/>
  <c r="CK52" i="39"/>
  <c r="CJ53" i="39"/>
  <c r="CX53" i="39" s="1"/>
  <c r="CK53" i="39"/>
  <c r="CJ54" i="39"/>
  <c r="CX54" i="39" s="1"/>
  <c r="CJ55" i="39"/>
  <c r="CK55" i="39"/>
  <c r="CJ56" i="39"/>
  <c r="CK56" i="39"/>
  <c r="CJ57" i="39"/>
  <c r="CK57" i="39"/>
  <c r="CJ58" i="39"/>
  <c r="CK58" i="39"/>
  <c r="CJ59" i="39"/>
  <c r="CK59" i="39"/>
  <c r="CJ60" i="39"/>
  <c r="CK60" i="39"/>
  <c r="CJ61" i="39"/>
  <c r="CK61" i="39"/>
  <c r="CJ62" i="39"/>
  <c r="CK62" i="39"/>
  <c r="CJ63" i="39"/>
  <c r="CK63" i="39"/>
  <c r="CJ64" i="39"/>
  <c r="CK64" i="39"/>
  <c r="CJ65" i="39"/>
  <c r="CK65" i="39"/>
  <c r="CJ66" i="39"/>
  <c r="CK66" i="39"/>
  <c r="CJ67" i="39"/>
  <c r="CK67" i="39"/>
  <c r="CJ68" i="39"/>
  <c r="CK68" i="39"/>
  <c r="CJ69" i="39"/>
  <c r="CX69" i="39" s="1"/>
  <c r="CJ70" i="39"/>
  <c r="CK70" i="39"/>
  <c r="CJ71" i="39"/>
  <c r="CK71" i="39"/>
  <c r="CJ72" i="39"/>
  <c r="CK72" i="39"/>
  <c r="CJ73" i="39"/>
  <c r="CK73" i="39"/>
  <c r="CJ74" i="39"/>
  <c r="CK74" i="39"/>
  <c r="CJ75" i="39"/>
  <c r="CK75" i="39"/>
  <c r="CJ76" i="39"/>
  <c r="CJ77" i="39"/>
  <c r="CX77" i="39" s="1"/>
  <c r="CK77" i="39"/>
  <c r="CJ78" i="39"/>
  <c r="CK78" i="39"/>
  <c r="CJ79" i="39"/>
  <c r="CK79" i="39"/>
  <c r="CJ80" i="39"/>
  <c r="CK80" i="39"/>
  <c r="CJ81" i="39"/>
  <c r="CK81" i="39"/>
  <c r="CJ82" i="39"/>
  <c r="CX82" i="39" s="1"/>
  <c r="CK82" i="39"/>
  <c r="CJ83" i="39"/>
  <c r="CK83" i="39"/>
  <c r="CJ84" i="39"/>
  <c r="CK84" i="39"/>
  <c r="CJ85" i="39"/>
  <c r="CK85" i="39"/>
  <c r="CJ86" i="39"/>
  <c r="CK86" i="39"/>
  <c r="CJ87" i="39"/>
  <c r="CK87" i="39"/>
  <c r="CJ88" i="39"/>
  <c r="CK88" i="39"/>
  <c r="CJ89" i="39"/>
  <c r="CK89" i="39"/>
  <c r="CJ90" i="39"/>
  <c r="CK90" i="39"/>
  <c r="CJ91" i="39"/>
  <c r="CK91" i="39"/>
  <c r="CJ92" i="39"/>
  <c r="CK92" i="39"/>
  <c r="CJ93" i="39"/>
  <c r="CK93" i="39"/>
  <c r="CJ94" i="39"/>
  <c r="CK94" i="39"/>
  <c r="CJ95" i="39"/>
  <c r="CK95" i="39"/>
  <c r="CJ96" i="39"/>
  <c r="CK96" i="39"/>
  <c r="CJ97" i="39"/>
  <c r="CK97" i="39"/>
  <c r="CJ98" i="39"/>
  <c r="CK98" i="39"/>
  <c r="CJ99" i="39"/>
  <c r="CK99" i="39"/>
  <c r="CJ100" i="39"/>
  <c r="CK100" i="39"/>
  <c r="CJ101" i="39"/>
  <c r="CK101" i="39"/>
  <c r="CJ102" i="39"/>
  <c r="CK102" i="39"/>
  <c r="CJ103" i="39"/>
  <c r="CK103" i="39"/>
  <c r="CJ104" i="39"/>
  <c r="CK104" i="39"/>
  <c r="CJ105" i="39"/>
  <c r="CK24" i="39"/>
  <c r="CJ24" i="39"/>
  <c r="BS24" i="39"/>
  <c r="CF24" i="39" s="1"/>
  <c r="DE24" i="39" s="1"/>
  <c r="BQ24" i="39"/>
  <c r="BP24" i="39"/>
  <c r="CC24" i="39" s="1"/>
  <c r="B7" i="23"/>
  <c r="B7" i="22"/>
  <c r="D9" i="21"/>
  <c r="E9" i="21" s="1"/>
  <c r="F9" i="21" s="1"/>
  <c r="G9" i="21" s="1"/>
  <c r="H9" i="21" s="1"/>
  <c r="I9" i="21" s="1"/>
  <c r="J9" i="21" s="1"/>
  <c r="K9" i="21" s="1"/>
  <c r="L9" i="21" s="1"/>
  <c r="M9" i="21" s="1"/>
  <c r="N9" i="21" s="1"/>
  <c r="O9" i="21" s="1"/>
  <c r="P9" i="21" s="1"/>
  <c r="Q9" i="21" s="1"/>
  <c r="R9" i="21" s="1"/>
  <c r="S9" i="21" s="1"/>
  <c r="T9" i="21" s="1"/>
  <c r="U9" i="21" s="1"/>
  <c r="V9" i="21" s="1"/>
  <c r="W9" i="21" s="1"/>
  <c r="X9" i="21" s="1"/>
  <c r="Y9" i="21" s="1"/>
  <c r="Z9" i="21" s="1"/>
  <c r="AA9" i="21" s="1"/>
  <c r="AB9" i="21" s="1"/>
  <c r="AC9" i="21" s="1"/>
  <c r="AD9" i="21" s="1"/>
  <c r="AE9" i="21" s="1"/>
  <c r="AF9" i="21" s="1"/>
  <c r="AG9" i="21" s="1"/>
  <c r="AH9" i="21" s="1"/>
  <c r="AI9" i="21" s="1"/>
  <c r="D8" i="21"/>
  <c r="E8" i="21" s="1"/>
  <c r="F8" i="21" s="1"/>
  <c r="G8" i="21" s="1"/>
  <c r="H8" i="21" s="1"/>
  <c r="I8" i="21" s="1"/>
  <c r="J8" i="21" s="1"/>
  <c r="K8" i="21" s="1"/>
  <c r="L8" i="21" s="1"/>
  <c r="M8" i="21" s="1"/>
  <c r="N8" i="21" s="1"/>
  <c r="O8" i="21" s="1"/>
  <c r="P8" i="21" s="1"/>
  <c r="Q8" i="21" s="1"/>
  <c r="R8" i="21" s="1"/>
  <c r="S8" i="21" s="1"/>
  <c r="T8" i="21" s="1"/>
  <c r="U8" i="21" s="1"/>
  <c r="V8" i="21" s="1"/>
  <c r="W8" i="21" s="1"/>
  <c r="X8" i="21" s="1"/>
  <c r="Y8" i="21" s="1"/>
  <c r="Z8" i="21" s="1"/>
  <c r="AA8" i="21" s="1"/>
  <c r="AB8" i="21" s="1"/>
  <c r="AC8" i="21" s="1"/>
  <c r="AD8" i="21" s="1"/>
  <c r="AE8" i="21" s="1"/>
  <c r="AF8" i="21" s="1"/>
  <c r="AG8" i="21" s="1"/>
  <c r="AH8" i="21" s="1"/>
  <c r="AI8" i="21" s="1"/>
  <c r="D7" i="21"/>
  <c r="E7" i="21" s="1"/>
  <c r="F7" i="21" s="1"/>
  <c r="G7" i="21" s="1"/>
  <c r="H7" i="21" s="1"/>
  <c r="I7" i="21" s="1"/>
  <c r="J7" i="21" s="1"/>
  <c r="K7" i="21" s="1"/>
  <c r="L7" i="21" s="1"/>
  <c r="M7" i="21" s="1"/>
  <c r="N7" i="21" s="1"/>
  <c r="O7" i="21" s="1"/>
  <c r="P7" i="21" s="1"/>
  <c r="Q7" i="21" s="1"/>
  <c r="R7" i="21" s="1"/>
  <c r="S7" i="21" s="1"/>
  <c r="T7" i="21" s="1"/>
  <c r="U7" i="21" s="1"/>
  <c r="V7" i="21" s="1"/>
  <c r="W7" i="21" s="1"/>
  <c r="X7" i="21" s="1"/>
  <c r="Y7" i="21" s="1"/>
  <c r="Z7" i="21" s="1"/>
  <c r="AA7" i="21" s="1"/>
  <c r="AB7" i="21" s="1"/>
  <c r="AC7" i="21" s="1"/>
  <c r="AD7" i="21" s="1"/>
  <c r="AE7" i="21" s="1"/>
  <c r="AF7" i="21" s="1"/>
  <c r="AG7" i="21" s="1"/>
  <c r="AH7" i="21" s="1"/>
  <c r="AI7" i="21" s="1"/>
  <c r="D6" i="21"/>
  <c r="E6" i="21" s="1"/>
  <c r="F6" i="21" s="1"/>
  <c r="G6" i="21" s="1"/>
  <c r="H6" i="21" s="1"/>
  <c r="I6" i="21" s="1"/>
  <c r="J6" i="21" s="1"/>
  <c r="K6" i="21" s="1"/>
  <c r="L6" i="21" s="1"/>
  <c r="M6" i="21" s="1"/>
  <c r="N6" i="21" s="1"/>
  <c r="O6" i="21" s="1"/>
  <c r="P6" i="21" s="1"/>
  <c r="Q6" i="21" s="1"/>
  <c r="R6" i="21" s="1"/>
  <c r="S6" i="21" s="1"/>
  <c r="T6" i="21" s="1"/>
  <c r="U6" i="21" s="1"/>
  <c r="V6" i="21" s="1"/>
  <c r="W6" i="21" s="1"/>
  <c r="X6" i="21" s="1"/>
  <c r="Y6" i="21" s="1"/>
  <c r="Z6" i="21" s="1"/>
  <c r="AA6" i="21" s="1"/>
  <c r="AB6" i="21" s="1"/>
  <c r="AC6" i="21" s="1"/>
  <c r="AD6" i="21" s="1"/>
  <c r="AE6" i="21" s="1"/>
  <c r="AF6" i="21" s="1"/>
  <c r="AG6" i="21" s="1"/>
  <c r="AH6" i="21" s="1"/>
  <c r="AI6" i="21" s="1"/>
  <c r="D5" i="21"/>
  <c r="E5" i="21" s="1"/>
  <c r="F5" i="21" s="1"/>
  <c r="G5" i="21" s="1"/>
  <c r="H5" i="21" s="1"/>
  <c r="I5" i="21" s="1"/>
  <c r="J5" i="21" s="1"/>
  <c r="K5" i="21" s="1"/>
  <c r="L5" i="21" s="1"/>
  <c r="M5" i="21" s="1"/>
  <c r="N5" i="21" s="1"/>
  <c r="O5" i="21" s="1"/>
  <c r="P5" i="21" s="1"/>
  <c r="Q5" i="21" s="1"/>
  <c r="R5" i="21" s="1"/>
  <c r="S5" i="21" s="1"/>
  <c r="T5" i="21" s="1"/>
  <c r="U5" i="21" s="1"/>
  <c r="V5" i="21" s="1"/>
  <c r="W5" i="21" s="1"/>
  <c r="X5" i="21" s="1"/>
  <c r="Y5" i="21" s="1"/>
  <c r="Z5" i="21" s="1"/>
  <c r="AA5" i="21" s="1"/>
  <c r="AB5" i="21" s="1"/>
  <c r="AC5" i="21" s="1"/>
  <c r="AD5" i="21" s="1"/>
  <c r="AE5" i="21" s="1"/>
  <c r="AF5" i="21" s="1"/>
  <c r="AG5" i="21" s="1"/>
  <c r="AH5" i="21" s="1"/>
  <c r="AI5" i="21" s="1"/>
  <c r="D4" i="21"/>
  <c r="E4" i="21" s="1"/>
  <c r="F4" i="21" s="1"/>
  <c r="G4" i="21" s="1"/>
  <c r="H4" i="21" s="1"/>
  <c r="I4" i="21" s="1"/>
  <c r="J4" i="21" s="1"/>
  <c r="K4" i="21" s="1"/>
  <c r="L4" i="21" s="1"/>
  <c r="M4" i="21" s="1"/>
  <c r="N4" i="21" s="1"/>
  <c r="O4" i="21" s="1"/>
  <c r="P4" i="21" s="1"/>
  <c r="Q4" i="21" s="1"/>
  <c r="R4" i="21" s="1"/>
  <c r="S4" i="21" s="1"/>
  <c r="T4" i="21" s="1"/>
  <c r="U4" i="21" s="1"/>
  <c r="V4" i="21" s="1"/>
  <c r="W4" i="21" s="1"/>
  <c r="X4" i="21" s="1"/>
  <c r="Y4" i="21" s="1"/>
  <c r="Z4" i="21" s="1"/>
  <c r="AA4" i="21" s="1"/>
  <c r="AB4" i="21" s="1"/>
  <c r="AC4" i="21" s="1"/>
  <c r="AD4" i="21" s="1"/>
  <c r="AE4" i="21" s="1"/>
  <c r="AF4" i="21" s="1"/>
  <c r="AG4" i="21" s="1"/>
  <c r="AH4" i="21" s="1"/>
  <c r="AI4" i="21" s="1"/>
  <c r="D2" i="21"/>
  <c r="E2" i="21" s="1"/>
  <c r="F2" i="21" s="1"/>
  <c r="G2" i="21" s="1"/>
  <c r="H2" i="21" s="1"/>
  <c r="I2" i="21" s="1"/>
  <c r="J2" i="21" s="1"/>
  <c r="K2" i="21" s="1"/>
  <c r="L2" i="21" s="1"/>
  <c r="M2" i="21" s="1"/>
  <c r="N2" i="21" s="1"/>
  <c r="O2" i="21" s="1"/>
  <c r="P2" i="21" s="1"/>
  <c r="Q2" i="21" s="1"/>
  <c r="R2" i="21" s="1"/>
  <c r="S2" i="21" s="1"/>
  <c r="T2" i="21" s="1"/>
  <c r="U2" i="21" s="1"/>
  <c r="V2" i="21" s="1"/>
  <c r="W2" i="21" s="1"/>
  <c r="X2" i="21" s="1"/>
  <c r="Y2" i="21" s="1"/>
  <c r="Z2" i="21" s="1"/>
  <c r="AA2" i="21" s="1"/>
  <c r="AB2" i="21" s="1"/>
  <c r="AC2" i="21" s="1"/>
  <c r="AD2" i="21" s="1"/>
  <c r="AE2" i="21" s="1"/>
  <c r="AF2" i="21" s="1"/>
  <c r="AG2" i="21" s="1"/>
  <c r="AH2" i="21" s="1"/>
  <c r="AI2" i="21" s="1"/>
  <c r="C7" i="21"/>
  <c r="C8" i="21"/>
  <c r="C9" i="21"/>
  <c r="C6" i="21"/>
  <c r="C5" i="21"/>
  <c r="C4" i="21"/>
  <c r="C2" i="21"/>
  <c r="B7" i="19"/>
  <c r="B8" i="18"/>
  <c r="B7" i="18"/>
  <c r="B6" i="18"/>
  <c r="B3" i="18"/>
  <c r="B7" i="17"/>
  <c r="B7" i="16"/>
  <c r="D258" i="39"/>
  <c r="G415" i="39"/>
  <c r="G8" i="16" s="1"/>
  <c r="H415" i="39"/>
  <c r="H8" i="16" s="1"/>
  <c r="I415" i="39"/>
  <c r="I8" i="16" s="1"/>
  <c r="J415" i="39"/>
  <c r="J8" i="16" s="1"/>
  <c r="K415" i="39"/>
  <c r="K8" i="16" s="1"/>
  <c r="L415" i="39"/>
  <c r="L8" i="16" s="1"/>
  <c r="M415" i="39"/>
  <c r="M8" i="16" s="1"/>
  <c r="N415" i="39"/>
  <c r="N8" i="16" s="1"/>
  <c r="O415" i="39"/>
  <c r="O8" i="16" s="1"/>
  <c r="P415" i="39"/>
  <c r="P8" i="16" s="1"/>
  <c r="Q415" i="39"/>
  <c r="Q8" i="16" s="1"/>
  <c r="R415" i="39"/>
  <c r="R8" i="16" s="1"/>
  <c r="S415" i="39"/>
  <c r="S8" i="16" s="1"/>
  <c r="T415" i="39"/>
  <c r="T8" i="16" s="1"/>
  <c r="U415" i="39"/>
  <c r="U8" i="16" s="1"/>
  <c r="V415" i="39"/>
  <c r="V8" i="16" s="1"/>
  <c r="W415" i="39"/>
  <c r="W8" i="16" s="1"/>
  <c r="X415" i="39"/>
  <c r="X8" i="16" s="1"/>
  <c r="Y415" i="39"/>
  <c r="Y8" i="16" s="1"/>
  <c r="Z415" i="39"/>
  <c r="Z8" i="16" s="1"/>
  <c r="AA415" i="39"/>
  <c r="AA8" i="16" s="1"/>
  <c r="AB415" i="39"/>
  <c r="AB8" i="16" s="1"/>
  <c r="AC415" i="39"/>
  <c r="AC8" i="16" s="1"/>
  <c r="AD415" i="39"/>
  <c r="AD8" i="16" s="1"/>
  <c r="AE415" i="39"/>
  <c r="AE8" i="16" s="1"/>
  <c r="AF415" i="39"/>
  <c r="AF8" i="16" s="1"/>
  <c r="AG415" i="39"/>
  <c r="AG8" i="16" s="1"/>
  <c r="AH415" i="39"/>
  <c r="AH8" i="16" s="1"/>
  <c r="AI415" i="39"/>
  <c r="AI8" i="16" s="1"/>
  <c r="G416" i="39"/>
  <c r="H416" i="39"/>
  <c r="I416" i="39"/>
  <c r="J416" i="39"/>
  <c r="K416" i="39"/>
  <c r="L416" i="39"/>
  <c r="M416" i="39"/>
  <c r="N416" i="39"/>
  <c r="O416" i="39"/>
  <c r="P416" i="39"/>
  <c r="Q416" i="39"/>
  <c r="R416" i="39"/>
  <c r="S416" i="39"/>
  <c r="T416" i="39"/>
  <c r="U416" i="39"/>
  <c r="V416" i="39"/>
  <c r="W416" i="39"/>
  <c r="X416" i="39"/>
  <c r="Y416" i="39"/>
  <c r="Z416" i="39"/>
  <c r="AA416" i="39"/>
  <c r="AB416" i="39"/>
  <c r="AC416" i="39"/>
  <c r="AD416" i="39"/>
  <c r="AE416" i="39"/>
  <c r="AF416" i="39"/>
  <c r="AG416" i="39"/>
  <c r="AH416" i="39"/>
  <c r="AI416" i="39"/>
  <c r="G421" i="39"/>
  <c r="G8" i="22" s="1"/>
  <c r="H421" i="39"/>
  <c r="H8" i="22" s="1"/>
  <c r="I421" i="39"/>
  <c r="I8" i="22" s="1"/>
  <c r="J421" i="39"/>
  <c r="J8" i="22" s="1"/>
  <c r="K421" i="39"/>
  <c r="K8" i="22" s="1"/>
  <c r="L421" i="39"/>
  <c r="L8" i="22" s="1"/>
  <c r="M421" i="39"/>
  <c r="M8" i="22" s="1"/>
  <c r="N421" i="39"/>
  <c r="N8" i="22" s="1"/>
  <c r="O421" i="39"/>
  <c r="O8" i="22" s="1"/>
  <c r="P421" i="39"/>
  <c r="P8" i="22" s="1"/>
  <c r="Q421" i="39"/>
  <c r="Q8" i="22" s="1"/>
  <c r="R421" i="39"/>
  <c r="R8" i="22" s="1"/>
  <c r="S421" i="39"/>
  <c r="S8" i="22" s="1"/>
  <c r="T421" i="39"/>
  <c r="T8" i="22" s="1"/>
  <c r="U421" i="39"/>
  <c r="U8" i="22" s="1"/>
  <c r="V421" i="39"/>
  <c r="V8" i="22" s="1"/>
  <c r="W421" i="39"/>
  <c r="W8" i="22" s="1"/>
  <c r="X421" i="39"/>
  <c r="X8" i="22" s="1"/>
  <c r="Y421" i="39"/>
  <c r="Y8" i="22" s="1"/>
  <c r="Z421" i="39"/>
  <c r="Z8" i="22" s="1"/>
  <c r="AA421" i="39"/>
  <c r="AA8" i="22" s="1"/>
  <c r="AB421" i="39"/>
  <c r="AB8" i="22" s="1"/>
  <c r="AC421" i="39"/>
  <c r="AC8" i="22" s="1"/>
  <c r="AD421" i="39"/>
  <c r="AD8" i="22" s="1"/>
  <c r="AE421" i="39"/>
  <c r="AE8" i="22" s="1"/>
  <c r="AF421" i="39"/>
  <c r="AF8" i="22" s="1"/>
  <c r="AG421" i="39"/>
  <c r="AG8" i="22" s="1"/>
  <c r="AH421" i="39"/>
  <c r="AH8" i="22" s="1"/>
  <c r="AI421" i="39"/>
  <c r="AI8" i="22" s="1"/>
  <c r="G423" i="39"/>
  <c r="H423" i="39"/>
  <c r="I423" i="39"/>
  <c r="J423" i="39"/>
  <c r="K423" i="39"/>
  <c r="L423" i="39"/>
  <c r="M423" i="39"/>
  <c r="N423" i="39"/>
  <c r="O423" i="39"/>
  <c r="P423" i="39"/>
  <c r="Q423" i="39"/>
  <c r="R423" i="39"/>
  <c r="S423" i="39"/>
  <c r="T423" i="39"/>
  <c r="U423" i="39"/>
  <c r="V423" i="39"/>
  <c r="W423" i="39"/>
  <c r="X423" i="39"/>
  <c r="Y423" i="39"/>
  <c r="Z423" i="39"/>
  <c r="AA423" i="39"/>
  <c r="AB423" i="39"/>
  <c r="AC423" i="39"/>
  <c r="AD423" i="39"/>
  <c r="AE423" i="39"/>
  <c r="AF423" i="39"/>
  <c r="AG423" i="39"/>
  <c r="AH423" i="39"/>
  <c r="AI423" i="39"/>
  <c r="C417" i="39"/>
  <c r="D417" i="39" s="1"/>
  <c r="C403" i="39"/>
  <c r="C404" i="39"/>
  <c r="C7" i="18" s="1"/>
  <c r="C405" i="39"/>
  <c r="C406" i="39"/>
  <c r="D406" i="39" s="1"/>
  <c r="E406" i="39" s="1"/>
  <c r="F406" i="39" s="1"/>
  <c r="G406" i="39" s="1"/>
  <c r="H406" i="39" s="1"/>
  <c r="I406" i="39" s="1"/>
  <c r="J406" i="39" s="1"/>
  <c r="K406" i="39" s="1"/>
  <c r="L406" i="39" s="1"/>
  <c r="M406" i="39" s="1"/>
  <c r="N406" i="39" s="1"/>
  <c r="O406" i="39" s="1"/>
  <c r="P406" i="39" s="1"/>
  <c r="Q406" i="39" s="1"/>
  <c r="R406" i="39" s="1"/>
  <c r="S406" i="39" s="1"/>
  <c r="T406" i="39" s="1"/>
  <c r="U406" i="39" s="1"/>
  <c r="V406" i="39" s="1"/>
  <c r="W406" i="39" s="1"/>
  <c r="X406" i="39" s="1"/>
  <c r="Y406" i="39" s="1"/>
  <c r="Z406" i="39" s="1"/>
  <c r="AA406" i="39" s="1"/>
  <c r="AB406" i="39" s="1"/>
  <c r="AC406" i="39" s="1"/>
  <c r="AD406" i="39" s="1"/>
  <c r="AE406" i="39" s="1"/>
  <c r="AF406" i="39" s="1"/>
  <c r="AG406" i="39" s="1"/>
  <c r="AH406" i="39" s="1"/>
  <c r="AI406" i="39" s="1"/>
  <c r="C407" i="39"/>
  <c r="D407" i="39" s="1"/>
  <c r="E407" i="39" s="1"/>
  <c r="F407" i="39" s="1"/>
  <c r="G407" i="39" s="1"/>
  <c r="H407" i="39" s="1"/>
  <c r="I407" i="39" s="1"/>
  <c r="J407" i="39" s="1"/>
  <c r="K407" i="39" s="1"/>
  <c r="L407" i="39" s="1"/>
  <c r="M407" i="39" s="1"/>
  <c r="N407" i="39" s="1"/>
  <c r="O407" i="39" s="1"/>
  <c r="P407" i="39" s="1"/>
  <c r="Q407" i="39" s="1"/>
  <c r="R407" i="39" s="1"/>
  <c r="S407" i="39" s="1"/>
  <c r="T407" i="39" s="1"/>
  <c r="U407" i="39" s="1"/>
  <c r="V407" i="39" s="1"/>
  <c r="W407" i="39" s="1"/>
  <c r="X407" i="39" s="1"/>
  <c r="Y407" i="39" s="1"/>
  <c r="Z407" i="39" s="1"/>
  <c r="AA407" i="39" s="1"/>
  <c r="AB407" i="39" s="1"/>
  <c r="AC407" i="39" s="1"/>
  <c r="AD407" i="39" s="1"/>
  <c r="AE407" i="39" s="1"/>
  <c r="AF407" i="39" s="1"/>
  <c r="AG407" i="39" s="1"/>
  <c r="AH407" i="39" s="1"/>
  <c r="AI407" i="39" s="1"/>
  <c r="C408" i="39"/>
  <c r="C7" i="22" s="1"/>
  <c r="C409" i="39"/>
  <c r="C410" i="39"/>
  <c r="D410" i="39" s="1"/>
  <c r="E410" i="39" s="1"/>
  <c r="F410" i="39" s="1"/>
  <c r="G410" i="39" s="1"/>
  <c r="H410" i="39" s="1"/>
  <c r="I410" i="39" s="1"/>
  <c r="J410" i="39" s="1"/>
  <c r="K410" i="39" s="1"/>
  <c r="L410" i="39" s="1"/>
  <c r="M410" i="39" s="1"/>
  <c r="N410" i="39" s="1"/>
  <c r="O410" i="39" s="1"/>
  <c r="P410" i="39" s="1"/>
  <c r="Q410" i="39" s="1"/>
  <c r="R410" i="39" s="1"/>
  <c r="S410" i="39" s="1"/>
  <c r="T410" i="39" s="1"/>
  <c r="U410" i="39" s="1"/>
  <c r="V410" i="39" s="1"/>
  <c r="W410" i="39" s="1"/>
  <c r="X410" i="39" s="1"/>
  <c r="Y410" i="39" s="1"/>
  <c r="Z410" i="39" s="1"/>
  <c r="AA410" i="39" s="1"/>
  <c r="AB410" i="39" s="1"/>
  <c r="AC410" i="39" s="1"/>
  <c r="AD410" i="39" s="1"/>
  <c r="AE410" i="39" s="1"/>
  <c r="AF410" i="39" s="1"/>
  <c r="AG410" i="39" s="1"/>
  <c r="AH410" i="39" s="1"/>
  <c r="AI410" i="39" s="1"/>
  <c r="C402" i="39"/>
  <c r="C7" i="16" s="1"/>
  <c r="C397" i="39"/>
  <c r="D397" i="39" s="1"/>
  <c r="E397" i="39" s="1"/>
  <c r="F397" i="39" s="1"/>
  <c r="G397" i="39" s="1"/>
  <c r="H397" i="39" s="1"/>
  <c r="I397" i="39" s="1"/>
  <c r="J397" i="39" s="1"/>
  <c r="K397" i="39" s="1"/>
  <c r="L397" i="39" s="1"/>
  <c r="M397" i="39" s="1"/>
  <c r="N397" i="39" s="1"/>
  <c r="O397" i="39" s="1"/>
  <c r="P397" i="39" s="1"/>
  <c r="Q397" i="39" s="1"/>
  <c r="R397" i="39" s="1"/>
  <c r="S397" i="39" s="1"/>
  <c r="T397" i="39" s="1"/>
  <c r="U397" i="39" s="1"/>
  <c r="V397" i="39" s="1"/>
  <c r="W397" i="39" s="1"/>
  <c r="X397" i="39" s="1"/>
  <c r="Y397" i="39" s="1"/>
  <c r="Z397" i="39" s="1"/>
  <c r="AA397" i="39" s="1"/>
  <c r="AB397" i="39" s="1"/>
  <c r="AC397" i="39" s="1"/>
  <c r="AD397" i="39" s="1"/>
  <c r="AE397" i="39" s="1"/>
  <c r="AF397" i="39" s="1"/>
  <c r="AG397" i="39" s="1"/>
  <c r="AH397" i="39" s="1"/>
  <c r="AI397" i="39" s="1"/>
  <c r="C391" i="39"/>
  <c r="C6" i="18" s="1"/>
  <c r="C384" i="39"/>
  <c r="D384" i="39" s="1"/>
  <c r="E384" i="39" s="1"/>
  <c r="F384" i="39" s="1"/>
  <c r="G384" i="39" s="1"/>
  <c r="H384" i="39" s="1"/>
  <c r="I384" i="39" s="1"/>
  <c r="J384" i="39" s="1"/>
  <c r="K384" i="39" s="1"/>
  <c r="L384" i="39" s="1"/>
  <c r="M384" i="39" s="1"/>
  <c r="N384" i="39" s="1"/>
  <c r="O384" i="39" s="1"/>
  <c r="P384" i="39" s="1"/>
  <c r="Q384" i="39" s="1"/>
  <c r="R384" i="39" s="1"/>
  <c r="S384" i="39" s="1"/>
  <c r="T384" i="39" s="1"/>
  <c r="U384" i="39" s="1"/>
  <c r="V384" i="39" s="1"/>
  <c r="W384" i="39" s="1"/>
  <c r="X384" i="39" s="1"/>
  <c r="Y384" i="39" s="1"/>
  <c r="Z384" i="39" s="1"/>
  <c r="AA384" i="39" s="1"/>
  <c r="AB384" i="39" s="1"/>
  <c r="AC384" i="39" s="1"/>
  <c r="AD384" i="39" s="1"/>
  <c r="AE384" i="39" s="1"/>
  <c r="AF384" i="39" s="1"/>
  <c r="AG384" i="39" s="1"/>
  <c r="AH384" i="39" s="1"/>
  <c r="AI384" i="39" s="1"/>
  <c r="C371" i="39"/>
  <c r="D371" i="39" s="1"/>
  <c r="E371" i="39" s="1"/>
  <c r="F371" i="39" s="1"/>
  <c r="G371" i="39" s="1"/>
  <c r="H371" i="39" s="1"/>
  <c r="I371" i="39" s="1"/>
  <c r="J371" i="39" s="1"/>
  <c r="K371" i="39" s="1"/>
  <c r="L371" i="39" s="1"/>
  <c r="M371" i="39" s="1"/>
  <c r="N371" i="39" s="1"/>
  <c r="O371" i="39" s="1"/>
  <c r="P371" i="39" s="1"/>
  <c r="Q371" i="39" s="1"/>
  <c r="R371" i="39" s="1"/>
  <c r="S371" i="39" s="1"/>
  <c r="T371" i="39" s="1"/>
  <c r="U371" i="39" s="1"/>
  <c r="V371" i="39" s="1"/>
  <c r="W371" i="39" s="1"/>
  <c r="X371" i="39" s="1"/>
  <c r="Y371" i="39" s="1"/>
  <c r="Z371" i="39" s="1"/>
  <c r="AA371" i="39" s="1"/>
  <c r="AB371" i="39" s="1"/>
  <c r="AC371" i="39" s="1"/>
  <c r="AD371" i="39" s="1"/>
  <c r="AE371" i="39" s="1"/>
  <c r="AF371" i="39" s="1"/>
  <c r="AG371" i="39" s="1"/>
  <c r="AH371" i="39" s="1"/>
  <c r="AI371" i="39" s="1"/>
  <c r="D358" i="39"/>
  <c r="E358" i="39" s="1"/>
  <c r="F358" i="39" s="1"/>
  <c r="G358" i="39" s="1"/>
  <c r="H358" i="39" s="1"/>
  <c r="I358" i="39" s="1"/>
  <c r="J358" i="39" s="1"/>
  <c r="K358" i="39" s="1"/>
  <c r="L358" i="39" s="1"/>
  <c r="M358" i="39" s="1"/>
  <c r="N358" i="39" s="1"/>
  <c r="O358" i="39" s="1"/>
  <c r="P358" i="39" s="1"/>
  <c r="Q358" i="39" s="1"/>
  <c r="R358" i="39" s="1"/>
  <c r="S358" i="39" s="1"/>
  <c r="T358" i="39" s="1"/>
  <c r="U358" i="39" s="1"/>
  <c r="V358" i="39" s="1"/>
  <c r="W358" i="39" s="1"/>
  <c r="X358" i="39" s="1"/>
  <c r="Y358" i="39" s="1"/>
  <c r="Z358" i="39" s="1"/>
  <c r="AA358" i="39" s="1"/>
  <c r="AB358" i="39" s="1"/>
  <c r="AC358" i="39" s="1"/>
  <c r="AD358" i="39" s="1"/>
  <c r="AE358" i="39" s="1"/>
  <c r="AF358" i="39" s="1"/>
  <c r="AG358" i="39" s="1"/>
  <c r="AH358" i="39" s="1"/>
  <c r="AI358" i="39" s="1"/>
  <c r="C358" i="39"/>
  <c r="C354" i="39"/>
  <c r="D354" i="39" s="1"/>
  <c r="D3" i="18"/>
  <c r="C345" i="39"/>
  <c r="D345" i="39" s="1"/>
  <c r="C342" i="39"/>
  <c r="D342" i="39" s="1"/>
  <c r="E342" i="39" s="1"/>
  <c r="F342" i="39" s="1"/>
  <c r="G342" i="39" s="1"/>
  <c r="H342" i="39" s="1"/>
  <c r="I342" i="39" s="1"/>
  <c r="J342" i="39" s="1"/>
  <c r="K342" i="39" s="1"/>
  <c r="L342" i="39" s="1"/>
  <c r="M342" i="39" s="1"/>
  <c r="N342" i="39" s="1"/>
  <c r="O342" i="39" s="1"/>
  <c r="P342" i="39" s="1"/>
  <c r="Q342" i="39" s="1"/>
  <c r="R342" i="39" s="1"/>
  <c r="S342" i="39" s="1"/>
  <c r="T342" i="39" s="1"/>
  <c r="U342" i="39" s="1"/>
  <c r="V342" i="39" s="1"/>
  <c r="W342" i="39" s="1"/>
  <c r="X342" i="39" s="1"/>
  <c r="Y342" i="39" s="1"/>
  <c r="Z342" i="39" s="1"/>
  <c r="AA342" i="39" s="1"/>
  <c r="AB342" i="39" s="1"/>
  <c r="AC342" i="39" s="1"/>
  <c r="AD342" i="39" s="1"/>
  <c r="AE342" i="39" s="1"/>
  <c r="AF342" i="39" s="1"/>
  <c r="AG342" i="39" s="1"/>
  <c r="AH342" i="39" s="1"/>
  <c r="AI342" i="39" s="1"/>
  <c r="C341" i="39"/>
  <c r="D341" i="39" s="1"/>
  <c r="E341" i="39" s="1"/>
  <c r="F341" i="39" s="1"/>
  <c r="G341" i="39" s="1"/>
  <c r="H341" i="39" s="1"/>
  <c r="I341" i="39" s="1"/>
  <c r="J341" i="39" s="1"/>
  <c r="K341" i="39" s="1"/>
  <c r="L341" i="39" s="1"/>
  <c r="M341" i="39" s="1"/>
  <c r="N341" i="39" s="1"/>
  <c r="O341" i="39" s="1"/>
  <c r="P341" i="39" s="1"/>
  <c r="Q341" i="39" s="1"/>
  <c r="R341" i="39" s="1"/>
  <c r="S341" i="39" s="1"/>
  <c r="T341" i="39" s="1"/>
  <c r="U341" i="39" s="1"/>
  <c r="V341" i="39" s="1"/>
  <c r="W341" i="39" s="1"/>
  <c r="X341" i="39" s="1"/>
  <c r="Y341" i="39" s="1"/>
  <c r="Z341" i="39" s="1"/>
  <c r="AA341" i="39" s="1"/>
  <c r="AB341" i="39" s="1"/>
  <c r="AC341" i="39" s="1"/>
  <c r="AD341" i="39" s="1"/>
  <c r="AE341" i="39" s="1"/>
  <c r="AF341" i="39" s="1"/>
  <c r="AG341" i="39" s="1"/>
  <c r="AH341" i="39" s="1"/>
  <c r="AI341" i="39" s="1"/>
  <c r="D423" i="39"/>
  <c r="E423" i="39"/>
  <c r="F423" i="39"/>
  <c r="C423" i="39"/>
  <c r="C415" i="39"/>
  <c r="C8" i="16" s="1"/>
  <c r="D415" i="39"/>
  <c r="D8" i="16" s="1"/>
  <c r="E415" i="39"/>
  <c r="E8" i="16" s="1"/>
  <c r="F415" i="39"/>
  <c r="F8" i="16" s="1"/>
  <c r="C416" i="39"/>
  <c r="D416" i="39"/>
  <c r="E416" i="39"/>
  <c r="F416" i="39"/>
  <c r="C421" i="39"/>
  <c r="D421" i="39"/>
  <c r="D8" i="22" s="1"/>
  <c r="E421" i="39"/>
  <c r="E8" i="22" s="1"/>
  <c r="F421" i="39"/>
  <c r="F8" i="22" s="1"/>
  <c r="B432" i="39"/>
  <c r="B436" i="39"/>
  <c r="E191" i="30"/>
  <c r="F225" i="30"/>
  <c r="D205" i="30" s="1"/>
  <c r="F224" i="30"/>
  <c r="F223" i="30"/>
  <c r="F222" i="30"/>
  <c r="F221" i="30"/>
  <c r="F220" i="30"/>
  <c r="F219" i="30"/>
  <c r="F218" i="30"/>
  <c r="F217" i="30"/>
  <c r="BQ51" i="39"/>
  <c r="D165" i="30"/>
  <c r="B421" i="39"/>
  <c r="B8" i="22" s="1"/>
  <c r="B416" i="39"/>
  <c r="B415" i="39"/>
  <c r="E165" i="30"/>
  <c r="F165" i="30"/>
  <c r="G165" i="30"/>
  <c r="H165" i="30"/>
  <c r="I165" i="30"/>
  <c r="J165" i="30"/>
  <c r="K165" i="30"/>
  <c r="L165" i="30"/>
  <c r="M165" i="30"/>
  <c r="N165" i="30"/>
  <c r="O165" i="30"/>
  <c r="P165" i="30"/>
  <c r="Q165" i="30"/>
  <c r="R165" i="30"/>
  <c r="S165" i="30"/>
  <c r="T165" i="30"/>
  <c r="U165" i="30"/>
  <c r="V165" i="30"/>
  <c r="W165" i="30"/>
  <c r="X165" i="30"/>
  <c r="Y165" i="30"/>
  <c r="Z165" i="30"/>
  <c r="AA165" i="30"/>
  <c r="AB165" i="30"/>
  <c r="AC165" i="30"/>
  <c r="AD165" i="30"/>
  <c r="AE165" i="30"/>
  <c r="AF165" i="30"/>
  <c r="AG165" i="30"/>
  <c r="AH165" i="30"/>
  <c r="AI165" i="30"/>
  <c r="AJ165" i="30"/>
  <c r="BQ50" i="39"/>
  <c r="BT50" i="39"/>
  <c r="CG50" i="39" s="1"/>
  <c r="DF50" i="39" s="1"/>
  <c r="T215" i="39" s="1"/>
  <c r="BT51" i="39"/>
  <c r="CG51" i="39" s="1"/>
  <c r="DF51" i="39" s="1"/>
  <c r="T216" i="39" s="1"/>
  <c r="U5" i="33"/>
  <c r="U4" i="33"/>
  <c r="G191" i="30"/>
  <c r="H192" i="30" s="1"/>
  <c r="H191" i="30"/>
  <c r="I191" i="30"/>
  <c r="J191" i="30"/>
  <c r="K191" i="30"/>
  <c r="L191" i="30"/>
  <c r="M191" i="30"/>
  <c r="N191" i="30"/>
  <c r="O191" i="30"/>
  <c r="P191" i="30"/>
  <c r="Q191" i="30"/>
  <c r="R191" i="30"/>
  <c r="S191" i="30"/>
  <c r="T191" i="30"/>
  <c r="U191" i="30"/>
  <c r="V191" i="30"/>
  <c r="W191" i="30"/>
  <c r="X191" i="30"/>
  <c r="Y191" i="30"/>
  <c r="Z191" i="30"/>
  <c r="AA191" i="30"/>
  <c r="AB192" i="30" s="1"/>
  <c r="AB191" i="30"/>
  <c r="AC191" i="30"/>
  <c r="AD191" i="30"/>
  <c r="AE191" i="30"/>
  <c r="AF191" i="30"/>
  <c r="AG191" i="30"/>
  <c r="AH191" i="30"/>
  <c r="AI191" i="30"/>
  <c r="AJ192" i="30" s="1"/>
  <c r="AJ191" i="30"/>
  <c r="F191" i="30"/>
  <c r="G192" i="30" s="1"/>
  <c r="F192" i="30"/>
  <c r="D191" i="30"/>
  <c r="E192" i="30" s="1"/>
  <c r="C191" i="30"/>
  <c r="D149" i="14"/>
  <c r="E149" i="14"/>
  <c r="F149" i="14"/>
  <c r="G149" i="14"/>
  <c r="H149" i="14"/>
  <c r="I149" i="14"/>
  <c r="J149" i="14"/>
  <c r="K149" i="14"/>
  <c r="L149" i="14"/>
  <c r="M149" i="14"/>
  <c r="N149" i="14"/>
  <c r="O149" i="14"/>
  <c r="P149" i="14"/>
  <c r="Q149" i="14"/>
  <c r="R149" i="14"/>
  <c r="S149" i="14"/>
  <c r="T149" i="14"/>
  <c r="U149" i="14"/>
  <c r="V149" i="14"/>
  <c r="W149" i="14"/>
  <c r="X149" i="14"/>
  <c r="Y149" i="14"/>
  <c r="Z149" i="14"/>
  <c r="AA149" i="14"/>
  <c r="AB149" i="14"/>
  <c r="AC149" i="14"/>
  <c r="AD149" i="14"/>
  <c r="AE149" i="14"/>
  <c r="AF149" i="14"/>
  <c r="AG149" i="14"/>
  <c r="AH149" i="14"/>
  <c r="AI149" i="14"/>
  <c r="AJ149" i="14"/>
  <c r="D150" i="14"/>
  <c r="E150" i="14"/>
  <c r="F150" i="14"/>
  <c r="G150" i="14"/>
  <c r="H150" i="14"/>
  <c r="I150" i="14"/>
  <c r="J150" i="14"/>
  <c r="K150" i="14"/>
  <c r="L150" i="14"/>
  <c r="M150" i="14"/>
  <c r="N150" i="14"/>
  <c r="O150" i="14"/>
  <c r="P150" i="14"/>
  <c r="Q150" i="14"/>
  <c r="R150" i="14"/>
  <c r="S150" i="14"/>
  <c r="T150" i="14"/>
  <c r="U150" i="14"/>
  <c r="V150" i="14"/>
  <c r="W150" i="14"/>
  <c r="X150" i="14"/>
  <c r="Y150" i="14"/>
  <c r="Z150" i="14"/>
  <c r="AA150" i="14"/>
  <c r="AB150" i="14"/>
  <c r="AC150" i="14"/>
  <c r="AD150" i="14"/>
  <c r="AE150" i="14"/>
  <c r="AF150" i="14"/>
  <c r="AG150" i="14"/>
  <c r="AH150" i="14"/>
  <c r="AI150" i="14"/>
  <c r="AJ150" i="14"/>
  <c r="C150" i="14"/>
  <c r="C149" i="14"/>
  <c r="D148" i="14"/>
  <c r="E148" i="14"/>
  <c r="F148" i="14"/>
  <c r="G148" i="14"/>
  <c r="H148" i="14"/>
  <c r="I148" i="14"/>
  <c r="J148" i="14"/>
  <c r="K148" i="14"/>
  <c r="L148" i="14"/>
  <c r="M148" i="14"/>
  <c r="N148" i="14"/>
  <c r="O148" i="14"/>
  <c r="P148" i="14"/>
  <c r="Q148" i="14"/>
  <c r="R148" i="14"/>
  <c r="S148" i="14"/>
  <c r="T148" i="14"/>
  <c r="U148" i="14"/>
  <c r="V148" i="14"/>
  <c r="W148" i="14"/>
  <c r="X148" i="14"/>
  <c r="Y148" i="14"/>
  <c r="Z148" i="14"/>
  <c r="AA148" i="14"/>
  <c r="AB148" i="14"/>
  <c r="AC148" i="14"/>
  <c r="AD148" i="14"/>
  <c r="AE148" i="14"/>
  <c r="AF148" i="14"/>
  <c r="AG148" i="14"/>
  <c r="AH148" i="14"/>
  <c r="AI148" i="14"/>
  <c r="AJ148" i="14"/>
  <c r="C148" i="14"/>
  <c r="E203" i="30"/>
  <c r="F203" i="30" s="1"/>
  <c r="G203" i="30" s="1"/>
  <c r="H203" i="30" s="1"/>
  <c r="I203" i="30" s="1"/>
  <c r="J203" i="30" s="1"/>
  <c r="K203" i="30" s="1"/>
  <c r="L203" i="30" s="1"/>
  <c r="M203" i="30" s="1"/>
  <c r="N203" i="30" s="1"/>
  <c r="O203" i="30" s="1"/>
  <c r="P203" i="30" s="1"/>
  <c r="Q203" i="30" s="1"/>
  <c r="R203" i="30" s="1"/>
  <c r="S203" i="30" s="1"/>
  <c r="T203" i="30" s="1"/>
  <c r="U203" i="30" s="1"/>
  <c r="V203" i="30" s="1"/>
  <c r="W203" i="30" s="1"/>
  <c r="X203" i="30" s="1"/>
  <c r="Y203" i="30" s="1"/>
  <c r="Z203" i="30" s="1"/>
  <c r="AA203" i="30" s="1"/>
  <c r="AB203" i="30" s="1"/>
  <c r="AC203" i="30" s="1"/>
  <c r="AD203" i="30" s="1"/>
  <c r="AE203" i="30" s="1"/>
  <c r="AF203" i="30" s="1"/>
  <c r="AG203" i="30" s="1"/>
  <c r="AH203" i="30" s="1"/>
  <c r="AI203" i="30" s="1"/>
  <c r="AJ203" i="30" s="1"/>
  <c r="E189" i="30"/>
  <c r="F189" i="30" s="1"/>
  <c r="G189" i="30" s="1"/>
  <c r="H189" i="30" s="1"/>
  <c r="I189" i="30" s="1"/>
  <c r="J189" i="30" s="1"/>
  <c r="K189" i="30" s="1"/>
  <c r="L189" i="30" s="1"/>
  <c r="M189" i="30" s="1"/>
  <c r="N189" i="30" s="1"/>
  <c r="O189" i="30" s="1"/>
  <c r="P189" i="30" s="1"/>
  <c r="Q189" i="30" s="1"/>
  <c r="R189" i="30" s="1"/>
  <c r="S189" i="30" s="1"/>
  <c r="T189" i="30" s="1"/>
  <c r="U189" i="30" s="1"/>
  <c r="V189" i="30" s="1"/>
  <c r="W189" i="30" s="1"/>
  <c r="X189" i="30" s="1"/>
  <c r="Y189" i="30" s="1"/>
  <c r="Z189" i="30" s="1"/>
  <c r="AA189" i="30" s="1"/>
  <c r="AB189" i="30" s="1"/>
  <c r="AC189" i="30" s="1"/>
  <c r="AD189" i="30" s="1"/>
  <c r="AE189" i="30" s="1"/>
  <c r="AF189" i="30" s="1"/>
  <c r="AG189" i="30" s="1"/>
  <c r="AH189" i="30" s="1"/>
  <c r="AI189" i="30" s="1"/>
  <c r="AJ189" i="30" s="1"/>
  <c r="E175" i="30"/>
  <c r="F176" i="30" s="1"/>
  <c r="F175" i="30"/>
  <c r="G176" i="30" s="1"/>
  <c r="G175" i="30"/>
  <c r="H176" i="30" s="1"/>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AF175" i="30"/>
  <c r="AG176" i="30" s="1"/>
  <c r="AG175" i="30"/>
  <c r="AH176" i="30" s="1"/>
  <c r="AH175" i="30"/>
  <c r="AI175" i="30"/>
  <c r="AJ175" i="30"/>
  <c r="E195" i="30"/>
  <c r="L195" i="30"/>
  <c r="M195" i="30"/>
  <c r="T195" i="30"/>
  <c r="U195" i="30"/>
  <c r="AB195" i="30"/>
  <c r="AC195" i="30"/>
  <c r="AD196" i="30" s="1"/>
  <c r="AJ195" i="30"/>
  <c r="C195" i="30"/>
  <c r="C175" i="30"/>
  <c r="D176" i="30" s="1"/>
  <c r="C172" i="30"/>
  <c r="E172" i="30" s="1"/>
  <c r="F172" i="30" s="1"/>
  <c r="G172" i="30" s="1"/>
  <c r="H172" i="30" s="1"/>
  <c r="D175" i="30"/>
  <c r="E176" i="30" s="1"/>
  <c r="G129" i="30"/>
  <c r="F195" i="30" s="1"/>
  <c r="C96" i="36"/>
  <c r="AD8" i="17" l="1"/>
  <c r="V8" i="17"/>
  <c r="N8" i="17"/>
  <c r="CX67" i="39"/>
  <c r="DJ67" i="39"/>
  <c r="CX63" i="39"/>
  <c r="DJ63" i="39"/>
  <c r="CX59" i="39"/>
  <c r="DJ59" i="39"/>
  <c r="CX55" i="39"/>
  <c r="DJ55" i="39"/>
  <c r="CX43" i="39"/>
  <c r="DJ43" i="39"/>
  <c r="CX39" i="39"/>
  <c r="DJ39" i="39"/>
  <c r="CX35" i="39"/>
  <c r="DJ35" i="39"/>
  <c r="CX31" i="39"/>
  <c r="DJ31" i="39"/>
  <c r="CX27" i="39"/>
  <c r="DJ27" i="39"/>
  <c r="AC8" i="17"/>
  <c r="U8" i="17"/>
  <c r="M8" i="17"/>
  <c r="CX103" i="39"/>
  <c r="DJ103" i="39"/>
  <c r="CX99" i="39"/>
  <c r="DJ99" i="39"/>
  <c r="CX95" i="39"/>
  <c r="DJ95" i="39"/>
  <c r="CX91" i="39"/>
  <c r="DJ91" i="39"/>
  <c r="CX87" i="39"/>
  <c r="DJ87" i="39"/>
  <c r="CX83" i="39"/>
  <c r="DJ83" i="39"/>
  <c r="CX79" i="39"/>
  <c r="DJ79" i="39"/>
  <c r="CX75" i="39"/>
  <c r="DJ75" i="39"/>
  <c r="CX71" i="39"/>
  <c r="DJ71" i="39"/>
  <c r="CX46" i="39"/>
  <c r="DJ46" i="39"/>
  <c r="AB8" i="17"/>
  <c r="T8" i="17"/>
  <c r="L8" i="17"/>
  <c r="CX66" i="39"/>
  <c r="DJ66" i="39"/>
  <c r="CX62" i="39"/>
  <c r="DJ62" i="39"/>
  <c r="CX58" i="39"/>
  <c r="DJ58" i="39"/>
  <c r="CX42" i="39"/>
  <c r="DJ42" i="39"/>
  <c r="CX38" i="39"/>
  <c r="DJ38" i="39"/>
  <c r="CX34" i="39"/>
  <c r="DJ34" i="39"/>
  <c r="CX30" i="39"/>
  <c r="DJ30" i="39"/>
  <c r="CX26" i="39"/>
  <c r="DJ26" i="39"/>
  <c r="B8" i="17"/>
  <c r="AI8" i="17"/>
  <c r="AA8" i="17"/>
  <c r="S8" i="17"/>
  <c r="K8" i="17"/>
  <c r="DJ24" i="39"/>
  <c r="CX24" i="39"/>
  <c r="CX102" i="39"/>
  <c r="DJ102" i="39"/>
  <c r="CX98" i="39"/>
  <c r="DJ98" i="39"/>
  <c r="CX94" i="39"/>
  <c r="DJ94" i="39"/>
  <c r="CX90" i="39"/>
  <c r="DJ90" i="39"/>
  <c r="CX86" i="39"/>
  <c r="DJ86" i="39"/>
  <c r="CX78" i="39"/>
  <c r="DJ78" i="39"/>
  <c r="CX74" i="39"/>
  <c r="DJ74" i="39"/>
  <c r="CX70" i="39"/>
  <c r="DJ70" i="39"/>
  <c r="CX49" i="39"/>
  <c r="DJ49" i="39"/>
  <c r="AH8" i="17"/>
  <c r="Z8" i="17"/>
  <c r="R8" i="17"/>
  <c r="J8" i="17"/>
  <c r="CX65" i="39"/>
  <c r="DJ65" i="39"/>
  <c r="CX61" i="39"/>
  <c r="DJ61" i="39"/>
  <c r="CX57" i="39"/>
  <c r="DJ57" i="39"/>
  <c r="CX45" i="39"/>
  <c r="DJ45" i="39"/>
  <c r="CX41" i="39"/>
  <c r="DJ41" i="39"/>
  <c r="CX37" i="39"/>
  <c r="DJ37" i="39"/>
  <c r="CX33" i="39"/>
  <c r="DJ33" i="39"/>
  <c r="CX29" i="39"/>
  <c r="DJ29" i="39"/>
  <c r="CX25" i="39"/>
  <c r="DJ25" i="39"/>
  <c r="F8" i="17"/>
  <c r="E8" i="17"/>
  <c r="AG8" i="17"/>
  <c r="Y8" i="17"/>
  <c r="Q8" i="17"/>
  <c r="I8" i="17"/>
  <c r="CX101" i="39"/>
  <c r="DJ101" i="39"/>
  <c r="CX97" i="39"/>
  <c r="DJ97" i="39"/>
  <c r="CX93" i="39"/>
  <c r="DJ93" i="39"/>
  <c r="CX89" i="39"/>
  <c r="DJ89" i="39"/>
  <c r="CX85" i="39"/>
  <c r="DJ85" i="39"/>
  <c r="CX81" i="39"/>
  <c r="DJ81" i="39"/>
  <c r="X223" i="39" s="1"/>
  <c r="CX73" i="39"/>
  <c r="DJ73" i="39"/>
  <c r="CX48" i="39"/>
  <c r="DJ48" i="39"/>
  <c r="D408" i="39"/>
  <c r="AF8" i="17"/>
  <c r="X8" i="17"/>
  <c r="P8" i="17"/>
  <c r="H8" i="17"/>
  <c r="CK76" i="39"/>
  <c r="CX68" i="39"/>
  <c r="DJ68" i="39"/>
  <c r="CX64" i="39"/>
  <c r="DJ64" i="39"/>
  <c r="CX60" i="39"/>
  <c r="DJ60" i="39"/>
  <c r="CX56" i="39"/>
  <c r="DJ56" i="39"/>
  <c r="CX44" i="39"/>
  <c r="DJ44" i="39"/>
  <c r="CX40" i="39"/>
  <c r="DJ40" i="39"/>
  <c r="CX36" i="39"/>
  <c r="DJ36" i="39"/>
  <c r="CX32" i="39"/>
  <c r="DJ32" i="39"/>
  <c r="CX28" i="39"/>
  <c r="DJ28" i="39"/>
  <c r="D8" i="17"/>
  <c r="C8" i="17"/>
  <c r="D404" i="39"/>
  <c r="E404" i="39" s="1"/>
  <c r="AE8" i="17"/>
  <c r="W8" i="17"/>
  <c r="O8" i="17"/>
  <c r="G8" i="17"/>
  <c r="CX104" i="39"/>
  <c r="DJ104" i="39"/>
  <c r="CX100" i="39"/>
  <c r="DJ100" i="39"/>
  <c r="CX96" i="39"/>
  <c r="DJ96" i="39"/>
  <c r="CX92" i="39"/>
  <c r="DJ92" i="39"/>
  <c r="CX88" i="39"/>
  <c r="DJ88" i="39"/>
  <c r="CX84" i="39"/>
  <c r="DJ84" i="39"/>
  <c r="CX80" i="39"/>
  <c r="DJ80" i="39"/>
  <c r="CX76" i="39"/>
  <c r="DJ76" i="39"/>
  <c r="X221" i="39" s="1"/>
  <c r="CX72" i="39"/>
  <c r="DJ72" i="39"/>
  <c r="CX47" i="39"/>
  <c r="DJ47" i="39"/>
  <c r="J177" i="30"/>
  <c r="F205" i="30"/>
  <c r="E205" i="30"/>
  <c r="J183" i="30"/>
  <c r="E417" i="39"/>
  <c r="D8" i="18"/>
  <c r="D403" i="39"/>
  <c r="C7" i="17"/>
  <c r="D409" i="39"/>
  <c r="C7" i="23"/>
  <c r="E408" i="39"/>
  <c r="D7" i="22"/>
  <c r="C8" i="18"/>
  <c r="D405" i="39"/>
  <c r="C7" i="19"/>
  <c r="F404" i="39"/>
  <c r="E7" i="18"/>
  <c r="B8" i="16"/>
  <c r="D7" i="18"/>
  <c r="C8" i="22"/>
  <c r="E206" i="30"/>
  <c r="C355" i="39"/>
  <c r="C433" i="39" s="1"/>
  <c r="D206" i="30"/>
  <c r="H205" i="30"/>
  <c r="I206" i="30" s="1"/>
  <c r="J205" i="30"/>
  <c r="K206" i="30" s="1"/>
  <c r="D391" i="39"/>
  <c r="L205" i="30"/>
  <c r="M206" i="30" s="1"/>
  <c r="AG205" i="30"/>
  <c r="AH206" i="30" s="1"/>
  <c r="Y205" i="30"/>
  <c r="Z206" i="30" s="1"/>
  <c r="Q205" i="30"/>
  <c r="R206" i="30" s="1"/>
  <c r="I205" i="30"/>
  <c r="J206" i="30" s="1"/>
  <c r="AF205" i="30"/>
  <c r="AG206" i="30" s="1"/>
  <c r="P205" i="30"/>
  <c r="Q206" i="30" s="1"/>
  <c r="AE205" i="30"/>
  <c r="AF206" i="30" s="1"/>
  <c r="W205" i="30"/>
  <c r="X206" i="30" s="1"/>
  <c r="O205" i="30"/>
  <c r="P206" i="30" s="1"/>
  <c r="G205" i="30"/>
  <c r="H206" i="30" s="1"/>
  <c r="C3" i="18"/>
  <c r="X205" i="30"/>
  <c r="Y206" i="30" s="1"/>
  <c r="AD205" i="30"/>
  <c r="AE206" i="30" s="1"/>
  <c r="V205" i="30"/>
  <c r="W206" i="30" s="1"/>
  <c r="N205" i="30"/>
  <c r="O206" i="30" s="1"/>
  <c r="G206" i="30"/>
  <c r="AC205" i="30"/>
  <c r="AD206" i="30" s="1"/>
  <c r="U205" i="30"/>
  <c r="V206" i="30" s="1"/>
  <c r="M205" i="30"/>
  <c r="N206" i="30" s="1"/>
  <c r="AJ205" i="30"/>
  <c r="AB205" i="30"/>
  <c r="AC206" i="30" s="1"/>
  <c r="T205" i="30"/>
  <c r="U206" i="30" s="1"/>
  <c r="AI205" i="30"/>
  <c r="AJ206" i="30" s="1"/>
  <c r="AA205" i="30"/>
  <c r="AB206" i="30" s="1"/>
  <c r="S205" i="30"/>
  <c r="T206" i="30" s="1"/>
  <c r="K205" i="30"/>
  <c r="L206" i="30" s="1"/>
  <c r="AH205" i="30"/>
  <c r="AI206" i="30" s="1"/>
  <c r="Z205" i="30"/>
  <c r="AA206" i="30" s="1"/>
  <c r="R205" i="30"/>
  <c r="S206" i="30" s="1"/>
  <c r="C436" i="39"/>
  <c r="D402" i="39"/>
  <c r="D436" i="39"/>
  <c r="C432" i="39"/>
  <c r="E3" i="18"/>
  <c r="E354" i="39"/>
  <c r="D432" i="39"/>
  <c r="I172" i="30"/>
  <c r="AI176" i="30"/>
  <c r="AA176" i="30"/>
  <c r="S176" i="30"/>
  <c r="K176" i="30"/>
  <c r="AF192" i="30"/>
  <c r="X192" i="30"/>
  <c r="P192" i="30"/>
  <c r="E345" i="39"/>
  <c r="AE192" i="30"/>
  <c r="W192" i="30"/>
  <c r="O192" i="30"/>
  <c r="D192" i="30"/>
  <c r="Z176" i="30"/>
  <c r="G196" i="30"/>
  <c r="AD192" i="30"/>
  <c r="V192" i="30"/>
  <c r="N192" i="30"/>
  <c r="AF176" i="30"/>
  <c r="X176" i="30"/>
  <c r="P176" i="30"/>
  <c r="Y176" i="30"/>
  <c r="F196" i="30"/>
  <c r="V196" i="30"/>
  <c r="N196" i="30"/>
  <c r="AC192" i="30"/>
  <c r="U192" i="30"/>
  <c r="M192" i="30"/>
  <c r="AE176" i="30"/>
  <c r="W176" i="30"/>
  <c r="O176" i="30"/>
  <c r="R176" i="30"/>
  <c r="AC196" i="30"/>
  <c r="U196" i="30"/>
  <c r="M196" i="30"/>
  <c r="T192" i="30"/>
  <c r="AD176" i="30"/>
  <c r="V176" i="30"/>
  <c r="N176" i="30"/>
  <c r="Q176" i="30"/>
  <c r="AI192" i="30"/>
  <c r="AA192" i="30"/>
  <c r="S192" i="30"/>
  <c r="K192" i="30"/>
  <c r="L192" i="30"/>
  <c r="AC176" i="30"/>
  <c r="U176" i="30"/>
  <c r="M176" i="30"/>
  <c r="J176" i="30"/>
  <c r="D196" i="30"/>
  <c r="AH192" i="30"/>
  <c r="Z192" i="30"/>
  <c r="R192" i="30"/>
  <c r="J192" i="30"/>
  <c r="AJ176" i="30"/>
  <c r="AB176" i="30"/>
  <c r="T176" i="30"/>
  <c r="L176" i="30"/>
  <c r="I176" i="30"/>
  <c r="AG192" i="30"/>
  <c r="Y192" i="30"/>
  <c r="Q192" i="30"/>
  <c r="I192" i="30"/>
  <c r="AI195" i="30"/>
  <c r="AA195" i="30"/>
  <c r="S195" i="30"/>
  <c r="K195" i="30"/>
  <c r="AH195" i="30"/>
  <c r="Z195" i="30"/>
  <c r="R195" i="30"/>
  <c r="J195" i="30"/>
  <c r="AG195" i="30"/>
  <c r="Y195" i="30"/>
  <c r="Q195" i="30"/>
  <c r="I195" i="30"/>
  <c r="AF195" i="30"/>
  <c r="X195" i="30"/>
  <c r="P195" i="30"/>
  <c r="H195" i="30"/>
  <c r="D195" i="30"/>
  <c r="AE195" i="30"/>
  <c r="W195" i="30"/>
  <c r="O195" i="30"/>
  <c r="G195" i="30"/>
  <c r="AD195" i="30"/>
  <c r="V195" i="30"/>
  <c r="N195" i="30"/>
  <c r="K177" i="30" l="1"/>
  <c r="K183" i="30"/>
  <c r="C3" i="21"/>
  <c r="F408" i="39"/>
  <c r="E7" i="22"/>
  <c r="E403" i="39"/>
  <c r="D7" i="17"/>
  <c r="G404" i="39"/>
  <c r="F7" i="18"/>
  <c r="E409" i="39"/>
  <c r="D7" i="23"/>
  <c r="E405" i="39"/>
  <c r="D7" i="19"/>
  <c r="F417" i="39"/>
  <c r="E8" i="18"/>
  <c r="D355" i="39"/>
  <c r="D433" i="39" s="1"/>
  <c r="F206" i="30"/>
  <c r="J6" i="18"/>
  <c r="E6" i="18"/>
  <c r="I6" i="18"/>
  <c r="D6" i="18"/>
  <c r="H6" i="18"/>
  <c r="F6" i="18"/>
  <c r="G6" i="18"/>
  <c r="K6" i="18"/>
  <c r="B3" i="21"/>
  <c r="E402" i="39"/>
  <c r="D7" i="16"/>
  <c r="AH196" i="30"/>
  <c r="H196" i="30"/>
  <c r="AG196" i="30"/>
  <c r="AI196" i="30"/>
  <c r="J172" i="30"/>
  <c r="L196" i="30"/>
  <c r="J196" i="30"/>
  <c r="X196" i="30"/>
  <c r="R196" i="30"/>
  <c r="T196" i="30"/>
  <c r="F354" i="39"/>
  <c r="E432" i="39"/>
  <c r="P196" i="30"/>
  <c r="AF196" i="30"/>
  <c r="Z196" i="30"/>
  <c r="AB196" i="30"/>
  <c r="F345" i="39"/>
  <c r="E436" i="39"/>
  <c r="E196" i="30"/>
  <c r="I196" i="30"/>
  <c r="K196" i="30"/>
  <c r="F3" i="18"/>
  <c r="W196" i="30"/>
  <c r="Q196" i="30"/>
  <c r="S196" i="30"/>
  <c r="AJ196" i="30"/>
  <c r="O196" i="30"/>
  <c r="AE196" i="30"/>
  <c r="Y196" i="30"/>
  <c r="AA196" i="30"/>
  <c r="D3" i="21" l="1"/>
  <c r="L177" i="30"/>
  <c r="L183" i="30"/>
  <c r="G417" i="39"/>
  <c r="F8" i="18"/>
  <c r="F409" i="39"/>
  <c r="E7" i="23"/>
  <c r="G408" i="39"/>
  <c r="F7" i="22"/>
  <c r="F403" i="39"/>
  <c r="E7" i="17"/>
  <c r="F405" i="39"/>
  <c r="E7" i="19"/>
  <c r="H404" i="39"/>
  <c r="G7" i="18"/>
  <c r="E355" i="39"/>
  <c r="E3" i="21" s="1"/>
  <c r="L6" i="18"/>
  <c r="F402" i="39"/>
  <c r="E7" i="16"/>
  <c r="K172" i="30"/>
  <c r="G3" i="18"/>
  <c r="G354" i="39"/>
  <c r="F432" i="39"/>
  <c r="F436" i="39"/>
  <c r="G345" i="39"/>
  <c r="P189" i="39"/>
  <c r="P191" i="39" s="1"/>
  <c r="D185" i="39" s="1"/>
  <c r="C128" i="33"/>
  <c r="BR26" i="39"/>
  <c r="CE26" i="39" s="1"/>
  <c r="DD26" i="39" s="1"/>
  <c r="BQ49" i="39"/>
  <c r="BQ25" i="39"/>
  <c r="BQ26" i="39"/>
  <c r="BQ27" i="39"/>
  <c r="BQ28" i="39"/>
  <c r="BQ29" i="39"/>
  <c r="BQ30" i="39"/>
  <c r="BQ31" i="39"/>
  <c r="BQ32" i="39"/>
  <c r="BQ33" i="39"/>
  <c r="BQ34" i="39"/>
  <c r="BQ35" i="39"/>
  <c r="BQ36" i="39"/>
  <c r="BQ37" i="39"/>
  <c r="BQ38" i="39"/>
  <c r="BQ39" i="39"/>
  <c r="BQ40" i="39"/>
  <c r="BQ41" i="39"/>
  <c r="BQ42" i="39"/>
  <c r="BQ43" i="39"/>
  <c r="BQ44" i="39"/>
  <c r="BQ45" i="39"/>
  <c r="BQ46" i="39"/>
  <c r="BQ47" i="39"/>
  <c r="BQ48" i="39"/>
  <c r="BQ52" i="39"/>
  <c r="BQ53" i="39"/>
  <c r="BQ54" i="39"/>
  <c r="BQ55" i="39"/>
  <c r="BQ56" i="39"/>
  <c r="BQ57" i="39"/>
  <c r="BQ58" i="39"/>
  <c r="BQ59" i="39"/>
  <c r="BQ60" i="39"/>
  <c r="BQ61" i="39"/>
  <c r="BQ62" i="39"/>
  <c r="BQ63" i="39"/>
  <c r="BQ64" i="39"/>
  <c r="BQ65" i="39"/>
  <c r="BQ66" i="39"/>
  <c r="BQ67" i="39"/>
  <c r="BQ68" i="39"/>
  <c r="BQ69" i="39"/>
  <c r="BQ70" i="39"/>
  <c r="BQ71" i="39"/>
  <c r="BQ72" i="39"/>
  <c r="BQ73" i="39"/>
  <c r="BQ74" i="39"/>
  <c r="BQ75" i="39"/>
  <c r="BQ77" i="39"/>
  <c r="BQ78" i="39"/>
  <c r="BQ79" i="39"/>
  <c r="BQ80" i="39"/>
  <c r="BQ81" i="39"/>
  <c r="BQ82" i="39"/>
  <c r="BQ83" i="39"/>
  <c r="BQ84" i="39"/>
  <c r="BQ85" i="39"/>
  <c r="BQ86" i="39"/>
  <c r="BQ87" i="39"/>
  <c r="BQ88" i="39"/>
  <c r="BQ89" i="39"/>
  <c r="BQ90" i="39"/>
  <c r="BQ91" i="39"/>
  <c r="BQ92" i="39"/>
  <c r="BQ93" i="39"/>
  <c r="BQ94" i="39"/>
  <c r="BQ95" i="39"/>
  <c r="BQ96" i="39"/>
  <c r="BQ97" i="39"/>
  <c r="BQ98" i="39"/>
  <c r="BQ99" i="39"/>
  <c r="BQ100" i="39"/>
  <c r="BQ101" i="39"/>
  <c r="BQ102" i="39"/>
  <c r="BQ103" i="39"/>
  <c r="BQ104" i="39"/>
  <c r="BG105" i="39"/>
  <c r="BE105" i="39"/>
  <c r="BE106" i="39" s="1"/>
  <c r="BR49" i="39"/>
  <c r="CE49" i="39" s="1"/>
  <c r="DD49" i="39" s="1"/>
  <c r="AU54" i="39"/>
  <c r="AR54" i="39"/>
  <c r="AZ54" i="39"/>
  <c r="BX105" i="39"/>
  <c r="C324" i="39"/>
  <c r="BR31" i="39"/>
  <c r="CE31" i="39" s="1"/>
  <c r="DD31" i="39" s="1"/>
  <c r="BO24" i="39"/>
  <c r="O145" i="39"/>
  <c r="BK49"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51" i="39"/>
  <c r="M52" i="39"/>
  <c r="M53" i="39"/>
  <c r="M54" i="39"/>
  <c r="M55" i="39"/>
  <c r="M56" i="39"/>
  <c r="M57" i="39"/>
  <c r="M58" i="39"/>
  <c r="M59" i="39"/>
  <c r="M60" i="39"/>
  <c r="M61" i="39"/>
  <c r="M62" i="39"/>
  <c r="M63" i="39"/>
  <c r="M64" i="39"/>
  <c r="M65" i="39"/>
  <c r="M66" i="39"/>
  <c r="M67" i="39"/>
  <c r="M68" i="39"/>
  <c r="M69" i="39"/>
  <c r="M70" i="39"/>
  <c r="M71" i="39"/>
  <c r="M72" i="39"/>
  <c r="M73" i="39"/>
  <c r="M74" i="39"/>
  <c r="M75" i="39"/>
  <c r="M76" i="39"/>
  <c r="M77" i="39"/>
  <c r="M78" i="39"/>
  <c r="M79" i="39"/>
  <c r="M80" i="39"/>
  <c r="M81" i="39"/>
  <c r="M82" i="39"/>
  <c r="M83" i="39"/>
  <c r="M84" i="39"/>
  <c r="M85" i="39"/>
  <c r="M86" i="39"/>
  <c r="M87" i="39"/>
  <c r="M88" i="39"/>
  <c r="M89" i="39"/>
  <c r="M90" i="39"/>
  <c r="M91" i="39"/>
  <c r="M92" i="39"/>
  <c r="M93" i="39"/>
  <c r="M94" i="39"/>
  <c r="M95" i="39"/>
  <c r="M96" i="39"/>
  <c r="M97" i="39"/>
  <c r="M98" i="39"/>
  <c r="M99" i="39"/>
  <c r="M100" i="39"/>
  <c r="M101" i="39"/>
  <c r="M102" i="39"/>
  <c r="M103" i="39"/>
  <c r="M104" i="39"/>
  <c r="BR24" i="39"/>
  <c r="CE24" i="39" s="1"/>
  <c r="BR25" i="39"/>
  <c r="CE25" i="39" s="1"/>
  <c r="DD25" i="39" s="1"/>
  <c r="BR27" i="39"/>
  <c r="CE27" i="39" s="1"/>
  <c r="DD27" i="39" s="1"/>
  <c r="BR28" i="39"/>
  <c r="CE28" i="39" s="1"/>
  <c r="DD28" i="39" s="1"/>
  <c r="BR29" i="39"/>
  <c r="CE29" i="39" s="1"/>
  <c r="DD29" i="39" s="1"/>
  <c r="BR30" i="39"/>
  <c r="CE30" i="39" s="1"/>
  <c r="DD30" i="39" s="1"/>
  <c r="BR32" i="39"/>
  <c r="CE32" i="39" s="1"/>
  <c r="DD32" i="39" s="1"/>
  <c r="BR33" i="39"/>
  <c r="CE33" i="39" s="1"/>
  <c r="DD33" i="39" s="1"/>
  <c r="BR34" i="39"/>
  <c r="CE34" i="39" s="1"/>
  <c r="DD34" i="39" s="1"/>
  <c r="BR35" i="39"/>
  <c r="CE35" i="39" s="1"/>
  <c r="DD35" i="39" s="1"/>
  <c r="BR36" i="39"/>
  <c r="CE36" i="39" s="1"/>
  <c r="DD36" i="39" s="1"/>
  <c r="BR37" i="39"/>
  <c r="CE37" i="39" s="1"/>
  <c r="DD37" i="39" s="1"/>
  <c r="BR38" i="39"/>
  <c r="CE38" i="39" s="1"/>
  <c r="DD38" i="39" s="1"/>
  <c r="BR39" i="39"/>
  <c r="CE39" i="39" s="1"/>
  <c r="DD39" i="39" s="1"/>
  <c r="BR40" i="39"/>
  <c r="CE40" i="39" s="1"/>
  <c r="DD40" i="39" s="1"/>
  <c r="BR41" i="39"/>
  <c r="CE41" i="39" s="1"/>
  <c r="DD41" i="39" s="1"/>
  <c r="BR42" i="39"/>
  <c r="CE42" i="39" s="1"/>
  <c r="DD42" i="39" s="1"/>
  <c r="BR43" i="39"/>
  <c r="CE43" i="39" s="1"/>
  <c r="DD43" i="39" s="1"/>
  <c r="BR44" i="39"/>
  <c r="CE44" i="39" s="1"/>
  <c r="DD44" i="39" s="1"/>
  <c r="BR45" i="39"/>
  <c r="CE45" i="39" s="1"/>
  <c r="DD45" i="39" s="1"/>
  <c r="BR46" i="39"/>
  <c r="CE46" i="39" s="1"/>
  <c r="DD46" i="39" s="1"/>
  <c r="BR47" i="39"/>
  <c r="CE47" i="39" s="1"/>
  <c r="DD47" i="39" s="1"/>
  <c r="BR48" i="39"/>
  <c r="CE48" i="39" s="1"/>
  <c r="DD48" i="39" s="1"/>
  <c r="BR51" i="39"/>
  <c r="CE51" i="39" s="1"/>
  <c r="DD51" i="39" s="1"/>
  <c r="R216" i="39" s="1"/>
  <c r="BR52" i="39"/>
  <c r="CE52" i="39" s="1"/>
  <c r="BR53" i="39"/>
  <c r="CE53" i="39" s="1"/>
  <c r="DD53" i="39" s="1"/>
  <c r="R218" i="39" s="1"/>
  <c r="BR55" i="39"/>
  <c r="CE55" i="39" s="1"/>
  <c r="DD55" i="39" s="1"/>
  <c r="BR56" i="39"/>
  <c r="CE56" i="39" s="1"/>
  <c r="DD56" i="39" s="1"/>
  <c r="BR57" i="39"/>
  <c r="CE57" i="39" s="1"/>
  <c r="DD57" i="39" s="1"/>
  <c r="BR58" i="39"/>
  <c r="CE58" i="39" s="1"/>
  <c r="DD58" i="39" s="1"/>
  <c r="BR59" i="39"/>
  <c r="CE59" i="39" s="1"/>
  <c r="DD59" i="39" s="1"/>
  <c r="BR60" i="39"/>
  <c r="CE60" i="39" s="1"/>
  <c r="DD60" i="39" s="1"/>
  <c r="BR61" i="39"/>
  <c r="CE61" i="39" s="1"/>
  <c r="DD61" i="39" s="1"/>
  <c r="BR62" i="39"/>
  <c r="CE62" i="39" s="1"/>
  <c r="DD62" i="39" s="1"/>
  <c r="BR63" i="39"/>
  <c r="CE63" i="39" s="1"/>
  <c r="DD63" i="39" s="1"/>
  <c r="BR64" i="39"/>
  <c r="CE64" i="39" s="1"/>
  <c r="DD64" i="39" s="1"/>
  <c r="BR65" i="39"/>
  <c r="CE65" i="39" s="1"/>
  <c r="DD65" i="39" s="1"/>
  <c r="BR66" i="39"/>
  <c r="CE66" i="39" s="1"/>
  <c r="DD66" i="39" s="1"/>
  <c r="BR67" i="39"/>
  <c r="CE67" i="39" s="1"/>
  <c r="DD67" i="39" s="1"/>
  <c r="BR68" i="39"/>
  <c r="CE68" i="39" s="1"/>
  <c r="DD68" i="39" s="1"/>
  <c r="BR69" i="39"/>
  <c r="CE69" i="39" s="1"/>
  <c r="BR70" i="39"/>
  <c r="CE70" i="39" s="1"/>
  <c r="DD70" i="39" s="1"/>
  <c r="BR71" i="39"/>
  <c r="CE71" i="39" s="1"/>
  <c r="DD71" i="39" s="1"/>
  <c r="BR72" i="39"/>
  <c r="CE72" i="39" s="1"/>
  <c r="DD72" i="39" s="1"/>
  <c r="BR73" i="39"/>
  <c r="CE73" i="39" s="1"/>
  <c r="DD73" i="39" s="1"/>
  <c r="BR74" i="39"/>
  <c r="CE74" i="39" s="1"/>
  <c r="DD74" i="39" s="1"/>
  <c r="BR75" i="39"/>
  <c r="CE75" i="39" s="1"/>
  <c r="DD75" i="39" s="1"/>
  <c r="BR78" i="39"/>
  <c r="CE78" i="39" s="1"/>
  <c r="DD78" i="39" s="1"/>
  <c r="BR79" i="39"/>
  <c r="CE79" i="39" s="1"/>
  <c r="DD79" i="39" s="1"/>
  <c r="BR80" i="39"/>
  <c r="CE80" i="39" s="1"/>
  <c r="DD80" i="39" s="1"/>
  <c r="BR81" i="39"/>
  <c r="CE81" i="39" s="1"/>
  <c r="DD81" i="39" s="1"/>
  <c r="R223" i="39" s="1"/>
  <c r="BR82" i="39"/>
  <c r="CE82" i="39" s="1"/>
  <c r="DD82" i="39" s="1"/>
  <c r="R224" i="39" s="1"/>
  <c r="BR83" i="39"/>
  <c r="CE83" i="39" s="1"/>
  <c r="DD83" i="39" s="1"/>
  <c r="BR84" i="39"/>
  <c r="CE84" i="39" s="1"/>
  <c r="DD84" i="39" s="1"/>
  <c r="BR85" i="39"/>
  <c r="CE85" i="39" s="1"/>
  <c r="DD85" i="39" s="1"/>
  <c r="BR86" i="39"/>
  <c r="CE86" i="39" s="1"/>
  <c r="DD86" i="39" s="1"/>
  <c r="BR87" i="39"/>
  <c r="CE87" i="39" s="1"/>
  <c r="DD87" i="39" s="1"/>
  <c r="BR88" i="39"/>
  <c r="CE88" i="39" s="1"/>
  <c r="DD88" i="39" s="1"/>
  <c r="BR89" i="39"/>
  <c r="CE89" i="39" s="1"/>
  <c r="DD89" i="39" s="1"/>
  <c r="BR90" i="39"/>
  <c r="CE90" i="39" s="1"/>
  <c r="DD90" i="39" s="1"/>
  <c r="BR91" i="39"/>
  <c r="CE91" i="39" s="1"/>
  <c r="DD91" i="39" s="1"/>
  <c r="BR92" i="39"/>
  <c r="CE92" i="39" s="1"/>
  <c r="DD92" i="39" s="1"/>
  <c r="BR93" i="39"/>
  <c r="CE93" i="39" s="1"/>
  <c r="DD93" i="39" s="1"/>
  <c r="BR94" i="39"/>
  <c r="CE94" i="39" s="1"/>
  <c r="DD94" i="39" s="1"/>
  <c r="BR95" i="39"/>
  <c r="CE95" i="39" s="1"/>
  <c r="DD95" i="39" s="1"/>
  <c r="BR96" i="39"/>
  <c r="CE96" i="39" s="1"/>
  <c r="DD96" i="39" s="1"/>
  <c r="BR97" i="39"/>
  <c r="CE97" i="39" s="1"/>
  <c r="DD97" i="39" s="1"/>
  <c r="BR98" i="39"/>
  <c r="CE98" i="39" s="1"/>
  <c r="DD98" i="39" s="1"/>
  <c r="BR99" i="39"/>
  <c r="CE99" i="39" s="1"/>
  <c r="DD99" i="39" s="1"/>
  <c r="BR100" i="39"/>
  <c r="CE100" i="39" s="1"/>
  <c r="DD100" i="39" s="1"/>
  <c r="BR101" i="39"/>
  <c r="CE101" i="39" s="1"/>
  <c r="DD101" i="39" s="1"/>
  <c r="BR102" i="39"/>
  <c r="CE102" i="39" s="1"/>
  <c r="DD102" i="39" s="1"/>
  <c r="BR103" i="39"/>
  <c r="CE103" i="39" s="1"/>
  <c r="DD103" i="39" s="1"/>
  <c r="BR104" i="39"/>
  <c r="CE104" i="39" s="1"/>
  <c r="DD104" i="39" s="1"/>
  <c r="I27" i="39"/>
  <c r="BP25" i="39"/>
  <c r="CC25" i="39" s="1"/>
  <c r="CB25" i="39" s="1"/>
  <c r="DB25" i="39" s="1"/>
  <c r="BS25" i="39"/>
  <c r="CF25" i="39" s="1"/>
  <c r="DE25" i="39" s="1"/>
  <c r="BT25" i="39"/>
  <c r="CG25" i="39" s="1"/>
  <c r="DF25" i="39" s="1"/>
  <c r="BU25" i="39"/>
  <c r="CH25" i="39" s="1"/>
  <c r="BV25" i="39"/>
  <c r="CI25" i="39" s="1"/>
  <c r="DH25" i="39" s="1"/>
  <c r="BP26" i="39"/>
  <c r="BS26" i="39"/>
  <c r="CF26" i="39" s="1"/>
  <c r="DE26" i="39" s="1"/>
  <c r="BT26" i="39"/>
  <c r="CG26" i="39" s="1"/>
  <c r="DF26" i="39" s="1"/>
  <c r="BU26" i="39"/>
  <c r="CH26" i="39" s="1"/>
  <c r="BV26" i="39"/>
  <c r="CI26" i="39" s="1"/>
  <c r="DH26" i="39" s="1"/>
  <c r="BP27" i="39"/>
  <c r="BS27" i="39"/>
  <c r="CF27" i="39" s="1"/>
  <c r="DE27" i="39" s="1"/>
  <c r="BT27" i="39"/>
  <c r="CG27" i="39" s="1"/>
  <c r="DF27" i="39" s="1"/>
  <c r="BU27" i="39"/>
  <c r="CH27" i="39" s="1"/>
  <c r="BV27" i="39"/>
  <c r="CI27" i="39" s="1"/>
  <c r="DH27" i="39" s="1"/>
  <c r="BP28" i="39"/>
  <c r="BS28" i="39"/>
  <c r="CF28" i="39" s="1"/>
  <c r="DE28" i="39" s="1"/>
  <c r="BT28" i="39"/>
  <c r="CG28" i="39" s="1"/>
  <c r="DF28" i="39" s="1"/>
  <c r="BU28" i="39"/>
  <c r="CH28" i="39" s="1"/>
  <c r="BV28" i="39"/>
  <c r="CI28" i="39" s="1"/>
  <c r="DH28" i="39" s="1"/>
  <c r="BP29" i="39"/>
  <c r="BS29" i="39"/>
  <c r="CF29" i="39" s="1"/>
  <c r="DE29" i="39" s="1"/>
  <c r="BT29" i="39"/>
  <c r="CG29" i="39" s="1"/>
  <c r="DF29" i="39" s="1"/>
  <c r="BU29" i="39"/>
  <c r="CH29" i="39" s="1"/>
  <c r="BV29" i="39"/>
  <c r="CI29" i="39" s="1"/>
  <c r="DH29" i="39" s="1"/>
  <c r="BP30" i="39"/>
  <c r="BS30" i="39"/>
  <c r="CF30" i="39" s="1"/>
  <c r="DE30" i="39" s="1"/>
  <c r="BT30" i="39"/>
  <c r="CG30" i="39" s="1"/>
  <c r="DF30" i="39" s="1"/>
  <c r="BU30" i="39"/>
  <c r="CH30" i="39" s="1"/>
  <c r="BV30" i="39"/>
  <c r="CI30" i="39" s="1"/>
  <c r="DH30" i="39" s="1"/>
  <c r="BP31" i="39"/>
  <c r="BS31" i="39"/>
  <c r="CF31" i="39" s="1"/>
  <c r="DE31" i="39" s="1"/>
  <c r="BT31" i="39"/>
  <c r="CG31" i="39" s="1"/>
  <c r="DF31" i="39" s="1"/>
  <c r="BU31" i="39"/>
  <c r="CH31" i="39" s="1"/>
  <c r="BV31" i="39"/>
  <c r="CI31" i="39" s="1"/>
  <c r="DH31" i="39" s="1"/>
  <c r="BP32" i="39"/>
  <c r="BS32" i="39"/>
  <c r="CF32" i="39" s="1"/>
  <c r="DE32" i="39" s="1"/>
  <c r="BT32" i="39"/>
  <c r="CG32" i="39" s="1"/>
  <c r="DF32" i="39" s="1"/>
  <c r="BU32" i="39"/>
  <c r="CH32" i="39" s="1"/>
  <c r="BV32" i="39"/>
  <c r="CI32" i="39" s="1"/>
  <c r="DH32" i="39" s="1"/>
  <c r="BP33" i="39"/>
  <c r="BS33" i="39"/>
  <c r="CF33" i="39" s="1"/>
  <c r="DE33" i="39" s="1"/>
  <c r="BT33" i="39"/>
  <c r="CG33" i="39" s="1"/>
  <c r="DF33" i="39" s="1"/>
  <c r="BU33" i="39"/>
  <c r="CH33" i="39" s="1"/>
  <c r="BV33" i="39"/>
  <c r="CI33" i="39" s="1"/>
  <c r="DH33" i="39" s="1"/>
  <c r="BP34" i="39"/>
  <c r="BS34" i="39"/>
  <c r="CF34" i="39" s="1"/>
  <c r="DE34" i="39" s="1"/>
  <c r="BT34" i="39"/>
  <c r="CG34" i="39" s="1"/>
  <c r="DF34" i="39" s="1"/>
  <c r="BU34" i="39"/>
  <c r="CH34" i="39" s="1"/>
  <c r="BV34" i="39"/>
  <c r="CI34" i="39" s="1"/>
  <c r="DH34" i="39" s="1"/>
  <c r="BP35" i="39"/>
  <c r="BS35" i="39"/>
  <c r="CF35" i="39" s="1"/>
  <c r="DE35" i="39" s="1"/>
  <c r="BT35" i="39"/>
  <c r="CG35" i="39" s="1"/>
  <c r="DF35" i="39" s="1"/>
  <c r="BU35" i="39"/>
  <c r="CH35" i="39" s="1"/>
  <c r="BV35" i="39"/>
  <c r="CI35" i="39" s="1"/>
  <c r="DH35" i="39" s="1"/>
  <c r="BP36" i="39"/>
  <c r="BS36" i="39"/>
  <c r="CF36" i="39" s="1"/>
  <c r="DE36" i="39" s="1"/>
  <c r="BT36" i="39"/>
  <c r="CG36" i="39" s="1"/>
  <c r="DF36" i="39" s="1"/>
  <c r="BU36" i="39"/>
  <c r="CH36" i="39" s="1"/>
  <c r="BV36" i="39"/>
  <c r="CI36" i="39" s="1"/>
  <c r="DH36" i="39" s="1"/>
  <c r="BP37" i="39"/>
  <c r="BS37" i="39"/>
  <c r="CF37" i="39" s="1"/>
  <c r="DE37" i="39" s="1"/>
  <c r="BT37" i="39"/>
  <c r="CG37" i="39" s="1"/>
  <c r="DF37" i="39" s="1"/>
  <c r="BU37" i="39"/>
  <c r="CH37" i="39" s="1"/>
  <c r="BV37" i="39"/>
  <c r="CI37" i="39" s="1"/>
  <c r="DH37" i="39" s="1"/>
  <c r="BP38" i="39"/>
  <c r="BS38" i="39"/>
  <c r="CF38" i="39" s="1"/>
  <c r="DE38" i="39" s="1"/>
  <c r="BT38" i="39"/>
  <c r="CG38" i="39" s="1"/>
  <c r="DF38" i="39" s="1"/>
  <c r="BU38" i="39"/>
  <c r="CH38" i="39" s="1"/>
  <c r="BV38" i="39"/>
  <c r="CI38" i="39" s="1"/>
  <c r="DH38" i="39" s="1"/>
  <c r="BP39" i="39"/>
  <c r="BS39" i="39"/>
  <c r="CF39" i="39" s="1"/>
  <c r="DE39" i="39" s="1"/>
  <c r="BT39" i="39"/>
  <c r="CG39" i="39" s="1"/>
  <c r="DF39" i="39" s="1"/>
  <c r="BU39" i="39"/>
  <c r="CH39" i="39" s="1"/>
  <c r="BV39" i="39"/>
  <c r="CI39" i="39" s="1"/>
  <c r="DH39" i="39" s="1"/>
  <c r="BP40" i="39"/>
  <c r="BS40" i="39"/>
  <c r="CF40" i="39" s="1"/>
  <c r="DE40" i="39" s="1"/>
  <c r="BT40" i="39"/>
  <c r="CG40" i="39" s="1"/>
  <c r="DF40" i="39" s="1"/>
  <c r="BU40" i="39"/>
  <c r="CH40" i="39" s="1"/>
  <c r="BV40" i="39"/>
  <c r="CI40" i="39" s="1"/>
  <c r="DH40" i="39" s="1"/>
  <c r="BP41" i="39"/>
  <c r="BS41" i="39"/>
  <c r="CF41" i="39" s="1"/>
  <c r="DE41" i="39" s="1"/>
  <c r="BT41" i="39"/>
  <c r="CG41" i="39" s="1"/>
  <c r="DF41" i="39" s="1"/>
  <c r="BU41" i="39"/>
  <c r="CH41" i="39" s="1"/>
  <c r="BV41" i="39"/>
  <c r="CI41" i="39" s="1"/>
  <c r="DH41" i="39" s="1"/>
  <c r="BP42" i="39"/>
  <c r="BS42" i="39"/>
  <c r="CF42" i="39" s="1"/>
  <c r="DE42" i="39" s="1"/>
  <c r="BT42" i="39"/>
  <c r="CG42" i="39" s="1"/>
  <c r="DF42" i="39" s="1"/>
  <c r="BU42" i="39"/>
  <c r="CH42" i="39" s="1"/>
  <c r="BV42" i="39"/>
  <c r="CI42" i="39" s="1"/>
  <c r="DH42" i="39" s="1"/>
  <c r="BP43" i="39"/>
  <c r="BS43" i="39"/>
  <c r="CF43" i="39" s="1"/>
  <c r="DE43" i="39" s="1"/>
  <c r="BT43" i="39"/>
  <c r="CG43" i="39" s="1"/>
  <c r="DF43" i="39" s="1"/>
  <c r="BU43" i="39"/>
  <c r="CH43" i="39" s="1"/>
  <c r="BV43" i="39"/>
  <c r="CI43" i="39" s="1"/>
  <c r="DH43" i="39" s="1"/>
  <c r="BP44" i="39"/>
  <c r="BS44" i="39"/>
  <c r="CF44" i="39" s="1"/>
  <c r="DE44" i="39" s="1"/>
  <c r="BT44" i="39"/>
  <c r="CG44" i="39" s="1"/>
  <c r="DF44" i="39" s="1"/>
  <c r="BU44" i="39"/>
  <c r="CH44" i="39" s="1"/>
  <c r="BV44" i="39"/>
  <c r="CI44" i="39" s="1"/>
  <c r="DH44" i="39" s="1"/>
  <c r="BP45" i="39"/>
  <c r="BS45" i="39"/>
  <c r="CF45" i="39" s="1"/>
  <c r="DE45" i="39" s="1"/>
  <c r="BT45" i="39"/>
  <c r="CG45" i="39" s="1"/>
  <c r="DF45" i="39" s="1"/>
  <c r="BU45" i="39"/>
  <c r="CH45" i="39" s="1"/>
  <c r="BV45" i="39"/>
  <c r="CI45" i="39" s="1"/>
  <c r="DH45" i="39" s="1"/>
  <c r="BP46" i="39"/>
  <c r="BS46" i="39"/>
  <c r="CF46" i="39" s="1"/>
  <c r="DE46" i="39" s="1"/>
  <c r="BT46" i="39"/>
  <c r="CG46" i="39" s="1"/>
  <c r="DF46" i="39" s="1"/>
  <c r="BU46" i="39"/>
  <c r="CH46" i="39" s="1"/>
  <c r="BV46" i="39"/>
  <c r="CI46" i="39" s="1"/>
  <c r="DH46" i="39" s="1"/>
  <c r="BP47" i="39"/>
  <c r="BS47" i="39"/>
  <c r="CF47" i="39" s="1"/>
  <c r="DE47" i="39" s="1"/>
  <c r="BT47" i="39"/>
  <c r="CG47" i="39" s="1"/>
  <c r="DF47" i="39" s="1"/>
  <c r="BU47" i="39"/>
  <c r="CH47" i="39" s="1"/>
  <c r="BV47" i="39"/>
  <c r="CI47" i="39" s="1"/>
  <c r="DH47" i="39" s="1"/>
  <c r="BP48" i="39"/>
  <c r="BS48" i="39"/>
  <c r="CF48" i="39" s="1"/>
  <c r="DE48" i="39" s="1"/>
  <c r="BT48" i="39"/>
  <c r="CG48" i="39" s="1"/>
  <c r="DF48" i="39" s="1"/>
  <c r="BU48" i="39"/>
  <c r="CH48" i="39" s="1"/>
  <c r="BV48" i="39"/>
  <c r="CI48" i="39" s="1"/>
  <c r="DH48" i="39" s="1"/>
  <c r="BP49" i="39"/>
  <c r="BS49" i="39"/>
  <c r="CF49" i="39" s="1"/>
  <c r="DE49" i="39" s="1"/>
  <c r="BT49" i="39"/>
  <c r="CG49" i="39" s="1"/>
  <c r="DF49" i="39" s="1"/>
  <c r="BU49" i="39"/>
  <c r="CH49" i="39" s="1"/>
  <c r="BV49" i="39"/>
  <c r="CI49" i="39" s="1"/>
  <c r="DH49" i="39" s="1"/>
  <c r="BP50" i="39"/>
  <c r="BS50" i="39"/>
  <c r="CF50" i="39" s="1"/>
  <c r="DE50" i="39" s="1"/>
  <c r="S215" i="39" s="1"/>
  <c r="BU50" i="39"/>
  <c r="CH50" i="39" s="1"/>
  <c r="BV50" i="39"/>
  <c r="CI50" i="39" s="1"/>
  <c r="BP51" i="39"/>
  <c r="BS51" i="39"/>
  <c r="CF51" i="39" s="1"/>
  <c r="DE51" i="39" s="1"/>
  <c r="S216" i="39" s="1"/>
  <c r="BU51" i="39"/>
  <c r="CH51" i="39" s="1"/>
  <c r="BV51" i="39"/>
  <c r="CI51" i="39" s="1"/>
  <c r="BP52" i="39"/>
  <c r="CC52" i="39" s="1"/>
  <c r="BS52" i="39"/>
  <c r="CF52" i="39" s="1"/>
  <c r="DE52" i="39" s="1"/>
  <c r="S217" i="39" s="1"/>
  <c r="BT52" i="39"/>
  <c r="CG52" i="39" s="1"/>
  <c r="DF52" i="39" s="1"/>
  <c r="T217" i="39" s="1"/>
  <c r="BU52" i="39"/>
  <c r="CH52" i="39" s="1"/>
  <c r="BV52" i="39"/>
  <c r="CI52" i="39" s="1"/>
  <c r="BP53" i="39"/>
  <c r="BS53" i="39"/>
  <c r="CF53" i="39" s="1"/>
  <c r="DE53" i="39" s="1"/>
  <c r="S218" i="39" s="1"/>
  <c r="BT53" i="39"/>
  <c r="CG53" i="39" s="1"/>
  <c r="DF53" i="39" s="1"/>
  <c r="T218" i="39" s="1"/>
  <c r="BU53" i="39"/>
  <c r="CH53" i="39" s="1"/>
  <c r="BV53" i="39"/>
  <c r="CI53" i="39" s="1"/>
  <c r="DH53" i="39" s="1"/>
  <c r="V218" i="39" s="1"/>
  <c r="BP54" i="39"/>
  <c r="BS54" i="39"/>
  <c r="CF54" i="39" s="1"/>
  <c r="DE54" i="39" s="1"/>
  <c r="S219" i="39" s="1"/>
  <c r="BT54" i="39"/>
  <c r="CG54" i="39" s="1"/>
  <c r="DF54" i="39" s="1"/>
  <c r="T219" i="39" s="1"/>
  <c r="BU54" i="39"/>
  <c r="CH54" i="39" s="1"/>
  <c r="BV54" i="39"/>
  <c r="CI54" i="39" s="1"/>
  <c r="BP55" i="39"/>
  <c r="BS55" i="39"/>
  <c r="CF55" i="39" s="1"/>
  <c r="DE55" i="39" s="1"/>
  <c r="BT55" i="39"/>
  <c r="CG55" i="39" s="1"/>
  <c r="DF55" i="39" s="1"/>
  <c r="BU55" i="39"/>
  <c r="CH55" i="39" s="1"/>
  <c r="BV55" i="39"/>
  <c r="CI55" i="39" s="1"/>
  <c r="DH55" i="39" s="1"/>
  <c r="BP56" i="39"/>
  <c r="BS56" i="39"/>
  <c r="CF56" i="39" s="1"/>
  <c r="DE56" i="39" s="1"/>
  <c r="BT56" i="39"/>
  <c r="CG56" i="39" s="1"/>
  <c r="DF56" i="39" s="1"/>
  <c r="BU56" i="39"/>
  <c r="CH56" i="39" s="1"/>
  <c r="BV56" i="39"/>
  <c r="CI56" i="39" s="1"/>
  <c r="DH56" i="39" s="1"/>
  <c r="BP57" i="39"/>
  <c r="BS57" i="39"/>
  <c r="CF57" i="39" s="1"/>
  <c r="DE57" i="39" s="1"/>
  <c r="BT57" i="39"/>
  <c r="CG57" i="39" s="1"/>
  <c r="DF57" i="39" s="1"/>
  <c r="BU57" i="39"/>
  <c r="CH57" i="39" s="1"/>
  <c r="BV57" i="39"/>
  <c r="CI57" i="39" s="1"/>
  <c r="DH57" i="39" s="1"/>
  <c r="BP58" i="39"/>
  <c r="BS58" i="39"/>
  <c r="CF58" i="39" s="1"/>
  <c r="DE58" i="39" s="1"/>
  <c r="BT58" i="39"/>
  <c r="CG58" i="39" s="1"/>
  <c r="DF58" i="39" s="1"/>
  <c r="BU58" i="39"/>
  <c r="CH58" i="39" s="1"/>
  <c r="BV58" i="39"/>
  <c r="CI58" i="39" s="1"/>
  <c r="DH58" i="39" s="1"/>
  <c r="BP59" i="39"/>
  <c r="BS59" i="39"/>
  <c r="CF59" i="39" s="1"/>
  <c r="DE59" i="39" s="1"/>
  <c r="BT59" i="39"/>
  <c r="CG59" i="39" s="1"/>
  <c r="DF59" i="39" s="1"/>
  <c r="BU59" i="39"/>
  <c r="CH59" i="39" s="1"/>
  <c r="BV59" i="39"/>
  <c r="CI59" i="39" s="1"/>
  <c r="DH59" i="39" s="1"/>
  <c r="BP60" i="39"/>
  <c r="BS60" i="39"/>
  <c r="CF60" i="39" s="1"/>
  <c r="DE60" i="39" s="1"/>
  <c r="BT60" i="39"/>
  <c r="CG60" i="39" s="1"/>
  <c r="DF60" i="39" s="1"/>
  <c r="BU60" i="39"/>
  <c r="CH60" i="39" s="1"/>
  <c r="BV60" i="39"/>
  <c r="CI60" i="39" s="1"/>
  <c r="DH60" i="39" s="1"/>
  <c r="BP61" i="39"/>
  <c r="BS61" i="39"/>
  <c r="CF61" i="39" s="1"/>
  <c r="DE61" i="39" s="1"/>
  <c r="BT61" i="39"/>
  <c r="CG61" i="39" s="1"/>
  <c r="DF61" i="39" s="1"/>
  <c r="BU61" i="39"/>
  <c r="CH61" i="39" s="1"/>
  <c r="BV61" i="39"/>
  <c r="CI61" i="39" s="1"/>
  <c r="DH61" i="39" s="1"/>
  <c r="BP62" i="39"/>
  <c r="BS62" i="39"/>
  <c r="CF62" i="39" s="1"/>
  <c r="DE62" i="39" s="1"/>
  <c r="BT62" i="39"/>
  <c r="CG62" i="39" s="1"/>
  <c r="DF62" i="39" s="1"/>
  <c r="BU62" i="39"/>
  <c r="CH62" i="39" s="1"/>
  <c r="BV62" i="39"/>
  <c r="CI62" i="39" s="1"/>
  <c r="DH62" i="39" s="1"/>
  <c r="BP63" i="39"/>
  <c r="BS63" i="39"/>
  <c r="CF63" i="39" s="1"/>
  <c r="DE63" i="39" s="1"/>
  <c r="BT63" i="39"/>
  <c r="CG63" i="39" s="1"/>
  <c r="DF63" i="39" s="1"/>
  <c r="BU63" i="39"/>
  <c r="CH63" i="39" s="1"/>
  <c r="BV63" i="39"/>
  <c r="CI63" i="39" s="1"/>
  <c r="DH63" i="39" s="1"/>
  <c r="BP64" i="39"/>
  <c r="BS64" i="39"/>
  <c r="CF64" i="39" s="1"/>
  <c r="DE64" i="39" s="1"/>
  <c r="BT64" i="39"/>
  <c r="CG64" i="39" s="1"/>
  <c r="DF64" i="39" s="1"/>
  <c r="BU64" i="39"/>
  <c r="CH64" i="39" s="1"/>
  <c r="BV64" i="39"/>
  <c r="CI64" i="39" s="1"/>
  <c r="DH64" i="39" s="1"/>
  <c r="BP65" i="39"/>
  <c r="BS65" i="39"/>
  <c r="CF65" i="39" s="1"/>
  <c r="DE65" i="39" s="1"/>
  <c r="BT65" i="39"/>
  <c r="CG65" i="39" s="1"/>
  <c r="DF65" i="39" s="1"/>
  <c r="BU65" i="39"/>
  <c r="CH65" i="39" s="1"/>
  <c r="BV65" i="39"/>
  <c r="CI65" i="39" s="1"/>
  <c r="DH65" i="39" s="1"/>
  <c r="BP66" i="39"/>
  <c r="BS66" i="39"/>
  <c r="CF66" i="39" s="1"/>
  <c r="DE66" i="39" s="1"/>
  <c r="BT66" i="39"/>
  <c r="CG66" i="39" s="1"/>
  <c r="DF66" i="39" s="1"/>
  <c r="BU66" i="39"/>
  <c r="CH66" i="39" s="1"/>
  <c r="BV66" i="39"/>
  <c r="CI66" i="39" s="1"/>
  <c r="DH66" i="39" s="1"/>
  <c r="BP67" i="39"/>
  <c r="BS67" i="39"/>
  <c r="CF67" i="39" s="1"/>
  <c r="DE67" i="39" s="1"/>
  <c r="BT67" i="39"/>
  <c r="CG67" i="39" s="1"/>
  <c r="DF67" i="39" s="1"/>
  <c r="BU67" i="39"/>
  <c r="CH67" i="39" s="1"/>
  <c r="BV67" i="39"/>
  <c r="CI67" i="39" s="1"/>
  <c r="DH67" i="39" s="1"/>
  <c r="BP68" i="39"/>
  <c r="BS68" i="39"/>
  <c r="CF68" i="39" s="1"/>
  <c r="DE68" i="39" s="1"/>
  <c r="BT68" i="39"/>
  <c r="CG68" i="39" s="1"/>
  <c r="DF68" i="39" s="1"/>
  <c r="BU68" i="39"/>
  <c r="CH68" i="39" s="1"/>
  <c r="BV68" i="39"/>
  <c r="CI68" i="39" s="1"/>
  <c r="DH68" i="39" s="1"/>
  <c r="BP69" i="39"/>
  <c r="BS69" i="39"/>
  <c r="CF69" i="39" s="1"/>
  <c r="DE69" i="39" s="1"/>
  <c r="S220" i="39" s="1"/>
  <c r="BT69" i="39"/>
  <c r="CG69" i="39" s="1"/>
  <c r="DF69" i="39" s="1"/>
  <c r="T220" i="39" s="1"/>
  <c r="BU69" i="39"/>
  <c r="CH69" i="39" s="1"/>
  <c r="BV69" i="39"/>
  <c r="CI69" i="39" s="1"/>
  <c r="BP70" i="39"/>
  <c r="BS70" i="39"/>
  <c r="CF70" i="39" s="1"/>
  <c r="DE70" i="39" s="1"/>
  <c r="BT70" i="39"/>
  <c r="CG70" i="39" s="1"/>
  <c r="DF70" i="39" s="1"/>
  <c r="BU70" i="39"/>
  <c r="CH70" i="39" s="1"/>
  <c r="BV70" i="39"/>
  <c r="CI70" i="39" s="1"/>
  <c r="DH70" i="39" s="1"/>
  <c r="BP71" i="39"/>
  <c r="BS71" i="39"/>
  <c r="CF71" i="39" s="1"/>
  <c r="DE71" i="39" s="1"/>
  <c r="BT71" i="39"/>
  <c r="CG71" i="39" s="1"/>
  <c r="DF71" i="39" s="1"/>
  <c r="BU71" i="39"/>
  <c r="CH71" i="39" s="1"/>
  <c r="BV71" i="39"/>
  <c r="CI71" i="39" s="1"/>
  <c r="DH71" i="39" s="1"/>
  <c r="BP72" i="39"/>
  <c r="BS72" i="39"/>
  <c r="CF72" i="39" s="1"/>
  <c r="DE72" i="39" s="1"/>
  <c r="BT72" i="39"/>
  <c r="CG72" i="39" s="1"/>
  <c r="DF72" i="39" s="1"/>
  <c r="BU72" i="39"/>
  <c r="CH72" i="39" s="1"/>
  <c r="BV72" i="39"/>
  <c r="CI72" i="39" s="1"/>
  <c r="DH72" i="39" s="1"/>
  <c r="BP73" i="39"/>
  <c r="BS73" i="39"/>
  <c r="CF73" i="39" s="1"/>
  <c r="DE73" i="39" s="1"/>
  <c r="BT73" i="39"/>
  <c r="CG73" i="39" s="1"/>
  <c r="DF73" i="39" s="1"/>
  <c r="BU73" i="39"/>
  <c r="CH73" i="39" s="1"/>
  <c r="BV73" i="39"/>
  <c r="CI73" i="39" s="1"/>
  <c r="DH73" i="39" s="1"/>
  <c r="BP74" i="39"/>
  <c r="BS74" i="39"/>
  <c r="CF74" i="39" s="1"/>
  <c r="DE74" i="39" s="1"/>
  <c r="BT74" i="39"/>
  <c r="CG74" i="39" s="1"/>
  <c r="DF74" i="39" s="1"/>
  <c r="BU74" i="39"/>
  <c r="CH74" i="39" s="1"/>
  <c r="BV74" i="39"/>
  <c r="CI74" i="39" s="1"/>
  <c r="DH74" i="39" s="1"/>
  <c r="BP75" i="39"/>
  <c r="BS75" i="39"/>
  <c r="CF75" i="39" s="1"/>
  <c r="DE75" i="39" s="1"/>
  <c r="BT75" i="39"/>
  <c r="CG75" i="39" s="1"/>
  <c r="DF75" i="39" s="1"/>
  <c r="BU75" i="39"/>
  <c r="CH75" i="39" s="1"/>
  <c r="BV75" i="39"/>
  <c r="CI75" i="39" s="1"/>
  <c r="DH75" i="39" s="1"/>
  <c r="BP76" i="39"/>
  <c r="BS76" i="39"/>
  <c r="CF76" i="39" s="1"/>
  <c r="DE76" i="39" s="1"/>
  <c r="S221" i="39" s="1"/>
  <c r="BT76" i="39"/>
  <c r="CG76" i="39" s="1"/>
  <c r="BU76" i="39"/>
  <c r="CH76" i="39" s="1"/>
  <c r="BV76" i="39"/>
  <c r="CI76" i="39" s="1"/>
  <c r="DH76" i="39" s="1"/>
  <c r="V221" i="39" s="1"/>
  <c r="BP77" i="39"/>
  <c r="BS77" i="39"/>
  <c r="CF77" i="39" s="1"/>
  <c r="DE77" i="39" s="1"/>
  <c r="S222" i="39" s="1"/>
  <c r="BT77" i="39"/>
  <c r="CG77" i="39" s="1"/>
  <c r="BU77" i="39"/>
  <c r="CH77" i="39" s="1"/>
  <c r="BV77" i="39"/>
  <c r="CI77" i="39" s="1"/>
  <c r="BP78" i="39"/>
  <c r="BS78" i="39"/>
  <c r="CF78" i="39" s="1"/>
  <c r="DE78" i="39" s="1"/>
  <c r="BT78" i="39"/>
  <c r="CG78" i="39" s="1"/>
  <c r="DF78" i="39" s="1"/>
  <c r="BU78" i="39"/>
  <c r="CH78" i="39" s="1"/>
  <c r="BV78" i="39"/>
  <c r="CI78" i="39" s="1"/>
  <c r="DH78" i="39" s="1"/>
  <c r="BP79" i="39"/>
  <c r="BS79" i="39"/>
  <c r="CF79" i="39" s="1"/>
  <c r="DE79" i="39" s="1"/>
  <c r="BT79" i="39"/>
  <c r="CG79" i="39" s="1"/>
  <c r="DF79" i="39" s="1"/>
  <c r="BU79" i="39"/>
  <c r="CH79" i="39" s="1"/>
  <c r="BV79" i="39"/>
  <c r="CI79" i="39" s="1"/>
  <c r="DH79" i="39" s="1"/>
  <c r="BP80" i="39"/>
  <c r="BS80" i="39"/>
  <c r="CF80" i="39" s="1"/>
  <c r="DE80" i="39" s="1"/>
  <c r="BT80" i="39"/>
  <c r="CG80" i="39" s="1"/>
  <c r="DF80" i="39" s="1"/>
  <c r="BU80" i="39"/>
  <c r="CH80" i="39" s="1"/>
  <c r="BV80" i="39"/>
  <c r="CI80" i="39" s="1"/>
  <c r="DH80" i="39" s="1"/>
  <c r="BP81" i="39"/>
  <c r="CC81" i="39" s="1"/>
  <c r="BS81" i="39"/>
  <c r="CF81" i="39" s="1"/>
  <c r="DE81" i="39" s="1"/>
  <c r="S223" i="39" s="1"/>
  <c r="BT81" i="39"/>
  <c r="CG81" i="39" s="1"/>
  <c r="BU81" i="39"/>
  <c r="CH81" i="39" s="1"/>
  <c r="BV81" i="39"/>
  <c r="CI81" i="39" s="1"/>
  <c r="DH81" i="39" s="1"/>
  <c r="V223" i="39" s="1"/>
  <c r="BP82" i="39"/>
  <c r="BS82" i="39"/>
  <c r="CF82" i="39" s="1"/>
  <c r="DE82" i="39" s="1"/>
  <c r="S224" i="39" s="1"/>
  <c r="BT82" i="39"/>
  <c r="CG82" i="39" s="1"/>
  <c r="BU82" i="39"/>
  <c r="CH82" i="39" s="1"/>
  <c r="BV82" i="39"/>
  <c r="CI82" i="39" s="1"/>
  <c r="BP83" i="39"/>
  <c r="BS83" i="39"/>
  <c r="CF83" i="39" s="1"/>
  <c r="DE83" i="39" s="1"/>
  <c r="BT83" i="39"/>
  <c r="CG83" i="39" s="1"/>
  <c r="DF83" i="39" s="1"/>
  <c r="BU83" i="39"/>
  <c r="CH83" i="39" s="1"/>
  <c r="BV83" i="39"/>
  <c r="CI83" i="39" s="1"/>
  <c r="DH83" i="39" s="1"/>
  <c r="BP84" i="39"/>
  <c r="BS84" i="39"/>
  <c r="CF84" i="39" s="1"/>
  <c r="DE84" i="39" s="1"/>
  <c r="BT84" i="39"/>
  <c r="CG84" i="39" s="1"/>
  <c r="DF84" i="39" s="1"/>
  <c r="BU84" i="39"/>
  <c r="CH84" i="39" s="1"/>
  <c r="BV84" i="39"/>
  <c r="CI84" i="39" s="1"/>
  <c r="DH84" i="39" s="1"/>
  <c r="BP85" i="39"/>
  <c r="BS85" i="39"/>
  <c r="CF85" i="39" s="1"/>
  <c r="DE85" i="39" s="1"/>
  <c r="BT85" i="39"/>
  <c r="CG85" i="39" s="1"/>
  <c r="DF85" i="39" s="1"/>
  <c r="BU85" i="39"/>
  <c r="CH85" i="39" s="1"/>
  <c r="BV85" i="39"/>
  <c r="CI85" i="39" s="1"/>
  <c r="DH85" i="39" s="1"/>
  <c r="BP86" i="39"/>
  <c r="BS86" i="39"/>
  <c r="CF86" i="39" s="1"/>
  <c r="DE86" i="39" s="1"/>
  <c r="BT86" i="39"/>
  <c r="CG86" i="39" s="1"/>
  <c r="DF86" i="39" s="1"/>
  <c r="BU86" i="39"/>
  <c r="CH86" i="39" s="1"/>
  <c r="BV86" i="39"/>
  <c r="CI86" i="39" s="1"/>
  <c r="DH86" i="39" s="1"/>
  <c r="BP87" i="39"/>
  <c r="BS87" i="39"/>
  <c r="CF87" i="39" s="1"/>
  <c r="DE87" i="39" s="1"/>
  <c r="BT87" i="39"/>
  <c r="CG87" i="39" s="1"/>
  <c r="DF87" i="39" s="1"/>
  <c r="BU87" i="39"/>
  <c r="CH87" i="39" s="1"/>
  <c r="BV87" i="39"/>
  <c r="CI87" i="39" s="1"/>
  <c r="DH87" i="39" s="1"/>
  <c r="BP88" i="39"/>
  <c r="BS88" i="39"/>
  <c r="CF88" i="39" s="1"/>
  <c r="DE88" i="39" s="1"/>
  <c r="BT88" i="39"/>
  <c r="CG88" i="39" s="1"/>
  <c r="DF88" i="39" s="1"/>
  <c r="BU88" i="39"/>
  <c r="CH88" i="39" s="1"/>
  <c r="BV88" i="39"/>
  <c r="CI88" i="39" s="1"/>
  <c r="DH88" i="39" s="1"/>
  <c r="BP89" i="39"/>
  <c r="BS89" i="39"/>
  <c r="CF89" i="39" s="1"/>
  <c r="DE89" i="39" s="1"/>
  <c r="BT89" i="39"/>
  <c r="CG89" i="39" s="1"/>
  <c r="DF89" i="39" s="1"/>
  <c r="BU89" i="39"/>
  <c r="CH89" i="39" s="1"/>
  <c r="BV89" i="39"/>
  <c r="CI89" i="39" s="1"/>
  <c r="DH89" i="39" s="1"/>
  <c r="BP90" i="39"/>
  <c r="BS90" i="39"/>
  <c r="CF90" i="39" s="1"/>
  <c r="DE90" i="39" s="1"/>
  <c r="BT90" i="39"/>
  <c r="CG90" i="39" s="1"/>
  <c r="DF90" i="39" s="1"/>
  <c r="BU90" i="39"/>
  <c r="CH90" i="39" s="1"/>
  <c r="BV90" i="39"/>
  <c r="CI90" i="39" s="1"/>
  <c r="DH90" i="39" s="1"/>
  <c r="BP91" i="39"/>
  <c r="BS91" i="39"/>
  <c r="CF91" i="39" s="1"/>
  <c r="DE91" i="39" s="1"/>
  <c r="BT91" i="39"/>
  <c r="CG91" i="39" s="1"/>
  <c r="DF91" i="39" s="1"/>
  <c r="BU91" i="39"/>
  <c r="CH91" i="39" s="1"/>
  <c r="BV91" i="39"/>
  <c r="CI91" i="39" s="1"/>
  <c r="DH91" i="39" s="1"/>
  <c r="BP92" i="39"/>
  <c r="BS92" i="39"/>
  <c r="CF92" i="39" s="1"/>
  <c r="DE92" i="39" s="1"/>
  <c r="BT92" i="39"/>
  <c r="CG92" i="39" s="1"/>
  <c r="DF92" i="39" s="1"/>
  <c r="BU92" i="39"/>
  <c r="CH92" i="39" s="1"/>
  <c r="BV92" i="39"/>
  <c r="CI92" i="39" s="1"/>
  <c r="DH92" i="39" s="1"/>
  <c r="BP93" i="39"/>
  <c r="BS93" i="39"/>
  <c r="CF93" i="39" s="1"/>
  <c r="DE93" i="39" s="1"/>
  <c r="BT93" i="39"/>
  <c r="CG93" i="39" s="1"/>
  <c r="DF93" i="39" s="1"/>
  <c r="BU93" i="39"/>
  <c r="CH93" i="39" s="1"/>
  <c r="BV93" i="39"/>
  <c r="CI93" i="39" s="1"/>
  <c r="DH93" i="39" s="1"/>
  <c r="BP94" i="39"/>
  <c r="BS94" i="39"/>
  <c r="CF94" i="39" s="1"/>
  <c r="DE94" i="39" s="1"/>
  <c r="BT94" i="39"/>
  <c r="CG94" i="39" s="1"/>
  <c r="DF94" i="39" s="1"/>
  <c r="BU94" i="39"/>
  <c r="CH94" i="39" s="1"/>
  <c r="BV94" i="39"/>
  <c r="CI94" i="39" s="1"/>
  <c r="DH94" i="39" s="1"/>
  <c r="BP95" i="39"/>
  <c r="BS95" i="39"/>
  <c r="CF95" i="39" s="1"/>
  <c r="DE95" i="39" s="1"/>
  <c r="BT95" i="39"/>
  <c r="CG95" i="39" s="1"/>
  <c r="DF95" i="39" s="1"/>
  <c r="BU95" i="39"/>
  <c r="CH95" i="39" s="1"/>
  <c r="BV95" i="39"/>
  <c r="CI95" i="39" s="1"/>
  <c r="DH95" i="39" s="1"/>
  <c r="BP96" i="39"/>
  <c r="BS96" i="39"/>
  <c r="CF96" i="39" s="1"/>
  <c r="DE96" i="39" s="1"/>
  <c r="BT96" i="39"/>
  <c r="CG96" i="39" s="1"/>
  <c r="DF96" i="39" s="1"/>
  <c r="BU96" i="39"/>
  <c r="CH96" i="39" s="1"/>
  <c r="BV96" i="39"/>
  <c r="CI96" i="39" s="1"/>
  <c r="DH96" i="39" s="1"/>
  <c r="BP97" i="39"/>
  <c r="BS97" i="39"/>
  <c r="CF97" i="39" s="1"/>
  <c r="DE97" i="39" s="1"/>
  <c r="BT97" i="39"/>
  <c r="CG97" i="39" s="1"/>
  <c r="DF97" i="39" s="1"/>
  <c r="BU97" i="39"/>
  <c r="CH97" i="39" s="1"/>
  <c r="BV97" i="39"/>
  <c r="CI97" i="39" s="1"/>
  <c r="DH97" i="39" s="1"/>
  <c r="BP98" i="39"/>
  <c r="BS98" i="39"/>
  <c r="CF98" i="39" s="1"/>
  <c r="DE98" i="39" s="1"/>
  <c r="BT98" i="39"/>
  <c r="CG98" i="39" s="1"/>
  <c r="DF98" i="39" s="1"/>
  <c r="BU98" i="39"/>
  <c r="CH98" i="39" s="1"/>
  <c r="BV98" i="39"/>
  <c r="CI98" i="39" s="1"/>
  <c r="DH98" i="39" s="1"/>
  <c r="BP99" i="39"/>
  <c r="BS99" i="39"/>
  <c r="CF99" i="39" s="1"/>
  <c r="DE99" i="39" s="1"/>
  <c r="BT99" i="39"/>
  <c r="CG99" i="39" s="1"/>
  <c r="DF99" i="39" s="1"/>
  <c r="BU99" i="39"/>
  <c r="CH99" i="39" s="1"/>
  <c r="BV99" i="39"/>
  <c r="CI99" i="39" s="1"/>
  <c r="DH99" i="39" s="1"/>
  <c r="BP100" i="39"/>
  <c r="BS100" i="39"/>
  <c r="CF100" i="39" s="1"/>
  <c r="DE100" i="39" s="1"/>
  <c r="BT100" i="39"/>
  <c r="CG100" i="39" s="1"/>
  <c r="DF100" i="39" s="1"/>
  <c r="BU100" i="39"/>
  <c r="CH100" i="39" s="1"/>
  <c r="BV100" i="39"/>
  <c r="CI100" i="39" s="1"/>
  <c r="DH100" i="39" s="1"/>
  <c r="BP101" i="39"/>
  <c r="BS101" i="39"/>
  <c r="CF101" i="39" s="1"/>
  <c r="DE101" i="39" s="1"/>
  <c r="BT101" i="39"/>
  <c r="CG101" i="39" s="1"/>
  <c r="DF101" i="39" s="1"/>
  <c r="BU101" i="39"/>
  <c r="CH101" i="39" s="1"/>
  <c r="BV101" i="39"/>
  <c r="CI101" i="39" s="1"/>
  <c r="DH101" i="39" s="1"/>
  <c r="BP102" i="39"/>
  <c r="BS102" i="39"/>
  <c r="CF102" i="39" s="1"/>
  <c r="DE102" i="39" s="1"/>
  <c r="BT102" i="39"/>
  <c r="CG102" i="39" s="1"/>
  <c r="DF102" i="39" s="1"/>
  <c r="BU102" i="39"/>
  <c r="CH102" i="39" s="1"/>
  <c r="BV102" i="39"/>
  <c r="CI102" i="39" s="1"/>
  <c r="DH102" i="39" s="1"/>
  <c r="BP103" i="39"/>
  <c r="CC103" i="39" s="1"/>
  <c r="CB103" i="39" s="1"/>
  <c r="DB103" i="39" s="1"/>
  <c r="BS103" i="39"/>
  <c r="CF103" i="39" s="1"/>
  <c r="DE103" i="39" s="1"/>
  <c r="BT103" i="39"/>
  <c r="CG103" i="39" s="1"/>
  <c r="DF103" i="39" s="1"/>
  <c r="BU103" i="39"/>
  <c r="CH103" i="39" s="1"/>
  <c r="BV103" i="39"/>
  <c r="CI103" i="39" s="1"/>
  <c r="DH103" i="39" s="1"/>
  <c r="BP104" i="39"/>
  <c r="BS104" i="39"/>
  <c r="CF104" i="39" s="1"/>
  <c r="DE104" i="39" s="1"/>
  <c r="BT104" i="39"/>
  <c r="CG104" i="39" s="1"/>
  <c r="DF104" i="39" s="1"/>
  <c r="BU104" i="39"/>
  <c r="CH104" i="39" s="1"/>
  <c r="BV104" i="39"/>
  <c r="CI104" i="39" s="1"/>
  <c r="DH104" i="39" s="1"/>
  <c r="BS105" i="39"/>
  <c r="CF105" i="39" s="1"/>
  <c r="BT105" i="39"/>
  <c r="CG105" i="39" s="1"/>
  <c r="BU105" i="39"/>
  <c r="CH105" i="39" s="1"/>
  <c r="BV105" i="39"/>
  <c r="CI105" i="39" s="1"/>
  <c r="BV24" i="39"/>
  <c r="CI24" i="39" s="1"/>
  <c r="DH24" i="39" s="1"/>
  <c r="BU24" i="39"/>
  <c r="CH24" i="39" s="1"/>
  <c r="C319" i="39"/>
  <c r="C305" i="39"/>
  <c r="C306" i="39" s="1"/>
  <c r="C308" i="39" s="1"/>
  <c r="G149" i="39" s="1"/>
  <c r="H149" i="39" s="1"/>
  <c r="F49" i="39"/>
  <c r="F50" i="39"/>
  <c r="F51" i="39"/>
  <c r="F53" i="39"/>
  <c r="F54" i="39"/>
  <c r="F76" i="39"/>
  <c r="F77" i="39"/>
  <c r="BO90" i="39" l="1"/>
  <c r="CC90" i="39"/>
  <c r="CB90" i="39" s="1"/>
  <c r="DB90" i="39" s="1"/>
  <c r="BO66" i="39"/>
  <c r="CC66" i="39"/>
  <c r="CB66" i="39" s="1"/>
  <c r="DB66" i="39" s="1"/>
  <c r="DI41" i="39"/>
  <c r="DG41" i="39"/>
  <c r="DI33" i="39"/>
  <c r="DG33" i="39"/>
  <c r="DI25" i="39"/>
  <c r="DG25" i="39"/>
  <c r="DG86" i="39"/>
  <c r="DI86" i="39"/>
  <c r="BO61" i="39"/>
  <c r="CC61" i="39"/>
  <c r="CB61" i="39" s="1"/>
  <c r="DB61" i="39" s="1"/>
  <c r="DG36" i="39"/>
  <c r="DI36" i="39"/>
  <c r="BO35" i="39"/>
  <c r="CC35" i="39"/>
  <c r="CB35" i="39" s="1"/>
  <c r="DB35" i="39" s="1"/>
  <c r="DG28" i="39"/>
  <c r="DI28" i="39"/>
  <c r="DG99" i="39"/>
  <c r="DI99" i="39"/>
  <c r="DG91" i="39"/>
  <c r="DI91" i="39"/>
  <c r="DG83" i="39"/>
  <c r="DI83" i="39"/>
  <c r="BO74" i="39"/>
  <c r="CC74" i="39"/>
  <c r="CB74" i="39" s="1"/>
  <c r="DB74" i="39" s="1"/>
  <c r="DG102" i="39"/>
  <c r="DI102" i="39"/>
  <c r="DG94" i="39"/>
  <c r="DI94" i="39"/>
  <c r="BO85" i="39"/>
  <c r="CC85" i="39"/>
  <c r="CB85" i="39" s="1"/>
  <c r="DB85" i="39" s="1"/>
  <c r="BO77" i="39"/>
  <c r="CC77" i="39"/>
  <c r="CB77" i="39" s="1"/>
  <c r="DB77" i="39" s="1"/>
  <c r="P222" i="39" s="1"/>
  <c r="DG54" i="39"/>
  <c r="U219" i="39" s="1"/>
  <c r="DI54" i="39"/>
  <c r="W219" i="39" s="1"/>
  <c r="DI97" i="39"/>
  <c r="DG97" i="39"/>
  <c r="BO96" i="39"/>
  <c r="CC96" i="39"/>
  <c r="CB96" i="39" s="1"/>
  <c r="DB96" i="39" s="1"/>
  <c r="DI89" i="39"/>
  <c r="DG89" i="39"/>
  <c r="BO88" i="39"/>
  <c r="CC88" i="39"/>
  <c r="CB88" i="39" s="1"/>
  <c r="DB88" i="39" s="1"/>
  <c r="DG81" i="39"/>
  <c r="U223" i="39" s="1"/>
  <c r="DI81" i="39"/>
  <c r="W223" i="39" s="1"/>
  <c r="BO80" i="39"/>
  <c r="CC80" i="39"/>
  <c r="CB80" i="39" s="1"/>
  <c r="DB80" i="39" s="1"/>
  <c r="DG73" i="39"/>
  <c r="DI73" i="39"/>
  <c r="BO72" i="39"/>
  <c r="CC72" i="39"/>
  <c r="CB72" i="39" s="1"/>
  <c r="DB72" i="39" s="1"/>
  <c r="DI65" i="39"/>
  <c r="DG65" i="39"/>
  <c r="BO64" i="39"/>
  <c r="CC64" i="39"/>
  <c r="CB64" i="39" s="1"/>
  <c r="DB64" i="39" s="1"/>
  <c r="DI57" i="39"/>
  <c r="DG57" i="39"/>
  <c r="BO56" i="39"/>
  <c r="CC56" i="39"/>
  <c r="CB56" i="39" s="1"/>
  <c r="DB56" i="39" s="1"/>
  <c r="BO51" i="39"/>
  <c r="CC51" i="39"/>
  <c r="CB51" i="39" s="1"/>
  <c r="DB51" i="39" s="1"/>
  <c r="P216" i="39" s="1"/>
  <c r="DG47" i="39"/>
  <c r="DI47" i="39"/>
  <c r="BO46" i="39"/>
  <c r="CC46" i="39"/>
  <c r="CB46" i="39" s="1"/>
  <c r="DB46" i="39" s="1"/>
  <c r="DG39" i="39"/>
  <c r="DI39" i="39"/>
  <c r="BO38" i="39"/>
  <c r="CC38" i="39"/>
  <c r="CB38" i="39" s="1"/>
  <c r="DB38" i="39" s="1"/>
  <c r="DG31" i="39"/>
  <c r="DI31" i="39"/>
  <c r="BO30" i="39"/>
  <c r="CC30" i="39"/>
  <c r="CB30" i="39" s="1"/>
  <c r="DB30" i="39" s="1"/>
  <c r="DI24" i="39"/>
  <c r="DG24" i="39"/>
  <c r="DI49" i="39"/>
  <c r="DG49" i="39"/>
  <c r="BO93" i="39"/>
  <c r="CC93" i="39"/>
  <c r="CB93" i="39" s="1"/>
  <c r="DB93" i="39" s="1"/>
  <c r="DG62" i="39"/>
  <c r="DI62" i="39"/>
  <c r="BO27" i="39"/>
  <c r="CC27" i="39"/>
  <c r="CB27" i="39" s="1"/>
  <c r="DB27" i="39" s="1"/>
  <c r="BO104" i="39"/>
  <c r="CC104" i="39"/>
  <c r="CB104" i="39" s="1"/>
  <c r="DB104" i="39" s="1"/>
  <c r="DG100" i="39"/>
  <c r="DI100" i="39"/>
  <c r="BO99" i="39"/>
  <c r="CC99" i="39"/>
  <c r="CB99" i="39" s="1"/>
  <c r="DB99" i="39" s="1"/>
  <c r="DG92" i="39"/>
  <c r="DI92" i="39"/>
  <c r="BO91" i="39"/>
  <c r="CC91" i="39"/>
  <c r="CB91" i="39" s="1"/>
  <c r="DB91" i="39" s="1"/>
  <c r="DG84" i="39"/>
  <c r="DI84" i="39"/>
  <c r="BO83" i="39"/>
  <c r="CC83" i="39"/>
  <c r="CB83" i="39" s="1"/>
  <c r="DB83" i="39" s="1"/>
  <c r="DG76" i="39"/>
  <c r="U221" i="39" s="1"/>
  <c r="DI76" i="39"/>
  <c r="W221" i="39" s="1"/>
  <c r="BO75" i="39"/>
  <c r="CC75" i="39"/>
  <c r="CB75" i="39" s="1"/>
  <c r="DB75" i="39" s="1"/>
  <c r="DG68" i="39"/>
  <c r="DI68" i="39"/>
  <c r="BO67" i="39"/>
  <c r="CC67" i="39"/>
  <c r="CB67" i="39" s="1"/>
  <c r="DB67" i="39" s="1"/>
  <c r="DG60" i="39"/>
  <c r="DI60" i="39"/>
  <c r="BO59" i="39"/>
  <c r="CC59" i="39"/>
  <c r="CB59" i="39" s="1"/>
  <c r="DB59" i="39" s="1"/>
  <c r="BO49" i="39"/>
  <c r="CC49" i="39"/>
  <c r="CB49" i="39" s="1"/>
  <c r="DB49" i="39" s="1"/>
  <c r="DI42" i="39"/>
  <c r="DG42" i="39"/>
  <c r="BO41" i="39"/>
  <c r="CC41" i="39"/>
  <c r="CB41" i="39" s="1"/>
  <c r="DB41" i="39" s="1"/>
  <c r="DI34" i="39"/>
  <c r="DG34" i="39"/>
  <c r="BO33" i="39"/>
  <c r="CC33" i="39"/>
  <c r="CB33" i="39" s="1"/>
  <c r="DB33" i="39" s="1"/>
  <c r="DI26" i="39"/>
  <c r="DG26" i="39"/>
  <c r="BO25" i="39"/>
  <c r="BO82" i="39"/>
  <c r="CC82" i="39"/>
  <c r="CB82" i="39" s="1"/>
  <c r="DB82" i="39" s="1"/>
  <c r="P224" i="39" s="1"/>
  <c r="BO58" i="39"/>
  <c r="CC58" i="39"/>
  <c r="CB58" i="39" s="1"/>
  <c r="DB58" i="39" s="1"/>
  <c r="BO48" i="39"/>
  <c r="CC48" i="39"/>
  <c r="CB48" i="39" s="1"/>
  <c r="DB48" i="39" s="1"/>
  <c r="BO40" i="39"/>
  <c r="CC40" i="39"/>
  <c r="CB40" i="39" s="1"/>
  <c r="DB40" i="39" s="1"/>
  <c r="DG70" i="39"/>
  <c r="DI70" i="39"/>
  <c r="BO69" i="39"/>
  <c r="CC69" i="39"/>
  <c r="CB69" i="39" s="1"/>
  <c r="DB69" i="39" s="1"/>
  <c r="P220" i="39" s="1"/>
  <c r="DG103" i="39"/>
  <c r="DI103" i="39"/>
  <c r="BO102" i="39"/>
  <c r="CC102" i="39"/>
  <c r="CB102" i="39" s="1"/>
  <c r="DB102" i="39" s="1"/>
  <c r="DG95" i="39"/>
  <c r="DI95" i="39"/>
  <c r="BO94" i="39"/>
  <c r="CC94" i="39"/>
  <c r="CB94" i="39" s="1"/>
  <c r="DB94" i="39" s="1"/>
  <c r="DG87" i="39"/>
  <c r="DI87" i="39"/>
  <c r="BO86" i="39"/>
  <c r="CC86" i="39"/>
  <c r="CB86" i="39" s="1"/>
  <c r="DB86" i="39" s="1"/>
  <c r="DI79" i="39"/>
  <c r="DG79" i="39"/>
  <c r="BO78" i="39"/>
  <c r="CC78" i="39"/>
  <c r="CB78" i="39" s="1"/>
  <c r="DB78" i="39" s="1"/>
  <c r="DG71" i="39"/>
  <c r="DI71" i="39"/>
  <c r="BO70" i="39"/>
  <c r="CC70" i="39"/>
  <c r="CB70" i="39" s="1"/>
  <c r="DB70" i="39" s="1"/>
  <c r="DG63" i="39"/>
  <c r="DI63" i="39"/>
  <c r="BO62" i="39"/>
  <c r="CC62" i="39"/>
  <c r="CB62" i="39" s="1"/>
  <c r="DB62" i="39" s="1"/>
  <c r="DG55" i="39"/>
  <c r="DI55" i="39"/>
  <c r="BO54" i="39"/>
  <c r="CC54" i="39"/>
  <c r="CB54" i="39" s="1"/>
  <c r="DB54" i="39" s="1"/>
  <c r="P219" i="39" s="1"/>
  <c r="DG45" i="39"/>
  <c r="DI45" i="39"/>
  <c r="BO44" i="39"/>
  <c r="CC44" i="39"/>
  <c r="CB44" i="39" s="1"/>
  <c r="DB44" i="39" s="1"/>
  <c r="DG37" i="39"/>
  <c r="DI37" i="39"/>
  <c r="BO36" i="39"/>
  <c r="CC36" i="39"/>
  <c r="CB36" i="39" s="1"/>
  <c r="DB36" i="39" s="1"/>
  <c r="DG29" i="39"/>
  <c r="DI29" i="39"/>
  <c r="BO28" i="39"/>
  <c r="CC28" i="39"/>
  <c r="CB28" i="39" s="1"/>
  <c r="DB28" i="39" s="1"/>
  <c r="BF106" i="39"/>
  <c r="BH106" i="39"/>
  <c r="BI106" i="39"/>
  <c r="BJ106" i="39"/>
  <c r="G154" i="39" s="1"/>
  <c r="BO32" i="39"/>
  <c r="CC32" i="39"/>
  <c r="CB32" i="39" s="1"/>
  <c r="DB32" i="39" s="1"/>
  <c r="BO53" i="39"/>
  <c r="CC53" i="39"/>
  <c r="CB53" i="39" s="1"/>
  <c r="DB53" i="39" s="1"/>
  <c r="P218" i="39" s="1"/>
  <c r="BO43" i="39"/>
  <c r="CC43" i="39"/>
  <c r="CB43" i="39" s="1"/>
  <c r="DB43" i="39" s="1"/>
  <c r="CB81" i="39"/>
  <c r="DB81" i="39" s="1"/>
  <c r="P223" i="39" s="1"/>
  <c r="DG74" i="39"/>
  <c r="DI74" i="39"/>
  <c r="BO73" i="39"/>
  <c r="CC73" i="39"/>
  <c r="CB73" i="39" s="1"/>
  <c r="DB73" i="39" s="1"/>
  <c r="DG66" i="39"/>
  <c r="DI66" i="39"/>
  <c r="BO65" i="39"/>
  <c r="CC65" i="39"/>
  <c r="CB65" i="39" s="1"/>
  <c r="DB65" i="39" s="1"/>
  <c r="DG58" i="39"/>
  <c r="DI58" i="39"/>
  <c r="BO57" i="39"/>
  <c r="CC57" i="39"/>
  <c r="CB57" i="39" s="1"/>
  <c r="DB57" i="39" s="1"/>
  <c r="DG48" i="39"/>
  <c r="DI48" i="39"/>
  <c r="BO47" i="39"/>
  <c r="CC47" i="39"/>
  <c r="CB47" i="39" s="1"/>
  <c r="DB47" i="39" s="1"/>
  <c r="DG40" i="39"/>
  <c r="DI40" i="39"/>
  <c r="BO39" i="39"/>
  <c r="CC39" i="39"/>
  <c r="CB39" i="39" s="1"/>
  <c r="DB39" i="39" s="1"/>
  <c r="DG32" i="39"/>
  <c r="DI32" i="39"/>
  <c r="BO31" i="39"/>
  <c r="CC31" i="39"/>
  <c r="CB31" i="39" s="1"/>
  <c r="DB31" i="39" s="1"/>
  <c r="DG75" i="39"/>
  <c r="DI75" i="39"/>
  <c r="DG67" i="39"/>
  <c r="DI67" i="39"/>
  <c r="DG59" i="39"/>
  <c r="DI59" i="39"/>
  <c r="BO101" i="39"/>
  <c r="CC101" i="39"/>
  <c r="CB101" i="39" s="1"/>
  <c r="DB101" i="39" s="1"/>
  <c r="DG78" i="39"/>
  <c r="DI78" i="39"/>
  <c r="DG98" i="39"/>
  <c r="DI98" i="39"/>
  <c r="BO97" i="39"/>
  <c r="CC97" i="39"/>
  <c r="CB97" i="39" s="1"/>
  <c r="DB97" i="39" s="1"/>
  <c r="DG101" i="39"/>
  <c r="DI101" i="39"/>
  <c r="BO100" i="39"/>
  <c r="CC100" i="39"/>
  <c r="CB100" i="39" s="1"/>
  <c r="DB100" i="39" s="1"/>
  <c r="DG93" i="39"/>
  <c r="DI93" i="39"/>
  <c r="BO92" i="39"/>
  <c r="CC92" i="39"/>
  <c r="CB92" i="39" s="1"/>
  <c r="DB92" i="39" s="1"/>
  <c r="DG85" i="39"/>
  <c r="DI85" i="39"/>
  <c r="BO84" i="39"/>
  <c r="CC84" i="39"/>
  <c r="CB84" i="39" s="1"/>
  <c r="DB84" i="39" s="1"/>
  <c r="DG77" i="39"/>
  <c r="U222" i="39" s="1"/>
  <c r="DI77" i="39"/>
  <c r="W222" i="39" s="1"/>
  <c r="BO76" i="39"/>
  <c r="CC76" i="39"/>
  <c r="CB76" i="39" s="1"/>
  <c r="DB76" i="39" s="1"/>
  <c r="P221" i="39" s="1"/>
  <c r="BO68" i="39"/>
  <c r="CC68" i="39"/>
  <c r="CB68" i="39" s="1"/>
  <c r="DB68" i="39" s="1"/>
  <c r="DG61" i="39"/>
  <c r="DI61" i="39"/>
  <c r="BO60" i="39"/>
  <c r="CC60" i="39"/>
  <c r="CB60" i="39" s="1"/>
  <c r="DB60" i="39" s="1"/>
  <c r="DG53" i="39"/>
  <c r="U218" i="39" s="1"/>
  <c r="DI53" i="39"/>
  <c r="W218" i="39" s="1"/>
  <c r="CB52" i="39"/>
  <c r="DB52" i="39" s="1"/>
  <c r="P217" i="39" s="1"/>
  <c r="BO50" i="39"/>
  <c r="CC50" i="39"/>
  <c r="CB50" i="39" s="1"/>
  <c r="DB50" i="39" s="1"/>
  <c r="P215" i="39" s="1"/>
  <c r="DG43" i="39"/>
  <c r="DI43" i="39"/>
  <c r="BO42" i="39"/>
  <c r="CC42" i="39"/>
  <c r="CB42" i="39" s="1"/>
  <c r="DB42" i="39" s="1"/>
  <c r="DG35" i="39"/>
  <c r="DI35" i="39"/>
  <c r="BO34" i="39"/>
  <c r="CC34" i="39"/>
  <c r="CB34" i="39" s="1"/>
  <c r="DB34" i="39" s="1"/>
  <c r="DG27" i="39"/>
  <c r="DI27" i="39"/>
  <c r="BO26" i="39"/>
  <c r="CC26" i="39"/>
  <c r="CB26" i="39" s="1"/>
  <c r="DB26" i="39" s="1"/>
  <c r="DD24" i="39"/>
  <c r="CB24" i="39"/>
  <c r="DB24" i="39" s="1"/>
  <c r="BO98" i="39"/>
  <c r="CC98" i="39"/>
  <c r="CB98" i="39" s="1"/>
  <c r="DB98" i="39" s="1"/>
  <c r="DG44" i="39"/>
  <c r="DI44" i="39"/>
  <c r="DG90" i="39"/>
  <c r="DI90" i="39"/>
  <c r="BO89" i="39"/>
  <c r="CC89" i="39"/>
  <c r="CB89" i="39" s="1"/>
  <c r="DB89" i="39" s="1"/>
  <c r="DI104" i="39"/>
  <c r="DG104" i="39"/>
  <c r="DI96" i="39"/>
  <c r="DG96" i="39"/>
  <c r="BO95" i="39"/>
  <c r="CC95" i="39"/>
  <c r="CB95" i="39" s="1"/>
  <c r="DB95" i="39" s="1"/>
  <c r="DI88" i="39"/>
  <c r="DG88" i="39"/>
  <c r="BO87" i="39"/>
  <c r="CC87" i="39"/>
  <c r="CB87" i="39" s="1"/>
  <c r="DB87" i="39" s="1"/>
  <c r="DI80" i="39"/>
  <c r="DG80" i="39"/>
  <c r="BO79" i="39"/>
  <c r="CC79" i="39"/>
  <c r="CB79" i="39" s="1"/>
  <c r="DB79" i="39" s="1"/>
  <c r="DG72" i="39"/>
  <c r="DI72" i="39"/>
  <c r="BO71" i="39"/>
  <c r="CC71" i="39"/>
  <c r="CB71" i="39" s="1"/>
  <c r="DB71" i="39" s="1"/>
  <c r="DI64" i="39"/>
  <c r="DG64" i="39"/>
  <c r="BO63" i="39"/>
  <c r="CC63" i="39"/>
  <c r="CB63" i="39" s="1"/>
  <c r="DB63" i="39" s="1"/>
  <c r="DI56" i="39"/>
  <c r="DG56" i="39"/>
  <c r="BO55" i="39"/>
  <c r="CC55" i="39"/>
  <c r="CB55" i="39" s="1"/>
  <c r="DB55" i="39" s="1"/>
  <c r="DG46" i="39"/>
  <c r="DI46" i="39"/>
  <c r="BO45" i="39"/>
  <c r="CC45" i="39"/>
  <c r="CB45" i="39" s="1"/>
  <c r="DB45" i="39" s="1"/>
  <c r="DG38" i="39"/>
  <c r="DI38" i="39"/>
  <c r="BO37" i="39"/>
  <c r="CC37" i="39"/>
  <c r="CB37" i="39" s="1"/>
  <c r="DB37" i="39" s="1"/>
  <c r="DG30" i="39"/>
  <c r="DI30" i="39"/>
  <c r="BO29" i="39"/>
  <c r="CC29" i="39"/>
  <c r="CB29" i="39" s="1"/>
  <c r="DB29" i="39" s="1"/>
  <c r="M177" i="30"/>
  <c r="M183" i="30"/>
  <c r="BO52" i="39"/>
  <c r="BO103" i="39"/>
  <c r="G403" i="39"/>
  <c r="F7" i="17"/>
  <c r="K199" i="30"/>
  <c r="L200" i="30" s="1"/>
  <c r="S199" i="30"/>
  <c r="T200" i="30" s="1"/>
  <c r="AA199" i="30"/>
  <c r="AB200" i="30" s="1"/>
  <c r="AI199" i="30"/>
  <c r="AJ200" i="30" s="1"/>
  <c r="L199" i="30"/>
  <c r="M200" i="30" s="1"/>
  <c r="T199" i="30"/>
  <c r="U200" i="30" s="1"/>
  <c r="AB199" i="30"/>
  <c r="AC200" i="30" s="1"/>
  <c r="E199" i="30"/>
  <c r="F200" i="30" s="1"/>
  <c r="M199" i="30"/>
  <c r="N200" i="30" s="1"/>
  <c r="U199" i="30"/>
  <c r="V200" i="30" s="1"/>
  <c r="AC199" i="30"/>
  <c r="AD200" i="30" s="1"/>
  <c r="C199" i="30"/>
  <c r="E185" i="39"/>
  <c r="F199" i="30"/>
  <c r="G200" i="30" s="1"/>
  <c r="N199" i="30"/>
  <c r="O200" i="30" s="1"/>
  <c r="V199" i="30"/>
  <c r="W200" i="30" s="1"/>
  <c r="AD199" i="30"/>
  <c r="AE200" i="30" s="1"/>
  <c r="G199" i="30"/>
  <c r="H200" i="30" s="1"/>
  <c r="O199" i="30"/>
  <c r="P200" i="30" s="1"/>
  <c r="W199" i="30"/>
  <c r="X200" i="30" s="1"/>
  <c r="AE199" i="30"/>
  <c r="AF200" i="30" s="1"/>
  <c r="H199" i="30"/>
  <c r="I200" i="30" s="1"/>
  <c r="X199" i="30"/>
  <c r="Y200" i="30" s="1"/>
  <c r="Q199" i="30"/>
  <c r="R200" i="30" s="1"/>
  <c r="J199" i="30"/>
  <c r="K200" i="30" s="1"/>
  <c r="AJ199" i="30"/>
  <c r="P199" i="30"/>
  <c r="Q200" i="30" s="1"/>
  <c r="AF199" i="30"/>
  <c r="AG200" i="30" s="1"/>
  <c r="AG199" i="30"/>
  <c r="AH200" i="30" s="1"/>
  <c r="Z199" i="30"/>
  <c r="AA200" i="30" s="1"/>
  <c r="I199" i="30"/>
  <c r="J200" i="30" s="1"/>
  <c r="Y199" i="30"/>
  <c r="Z200" i="30" s="1"/>
  <c r="R199" i="30"/>
  <c r="S200" i="30" s="1"/>
  <c r="D199" i="30"/>
  <c r="E200" i="30" s="1"/>
  <c r="AH199" i="30"/>
  <c r="AI200" i="30" s="1"/>
  <c r="K185" i="30"/>
  <c r="L186" i="30" s="1"/>
  <c r="S185" i="30"/>
  <c r="T186" i="30" s="1"/>
  <c r="AA185" i="30"/>
  <c r="AB186" i="30" s="1"/>
  <c r="AI185" i="30"/>
  <c r="AJ186" i="30" s="1"/>
  <c r="D185" i="30"/>
  <c r="L185" i="30"/>
  <c r="M186" i="30" s="1"/>
  <c r="T185" i="30"/>
  <c r="U186" i="30" s="1"/>
  <c r="AB185" i="30"/>
  <c r="AC186" i="30" s="1"/>
  <c r="AJ185" i="30"/>
  <c r="E185" i="30"/>
  <c r="M185" i="30"/>
  <c r="N186" i="30" s="1"/>
  <c r="U185" i="30"/>
  <c r="V186" i="30" s="1"/>
  <c r="AC185" i="30"/>
  <c r="AD186" i="30" s="1"/>
  <c r="F185" i="30"/>
  <c r="N185" i="30"/>
  <c r="O186" i="30" s="1"/>
  <c r="V185" i="30"/>
  <c r="W186" i="30" s="1"/>
  <c r="AD185" i="30"/>
  <c r="AE186" i="30" s="1"/>
  <c r="G185" i="30"/>
  <c r="O185" i="30"/>
  <c r="P186" i="30" s="1"/>
  <c r="W185" i="30"/>
  <c r="X186" i="30" s="1"/>
  <c r="AE185" i="30"/>
  <c r="AF186" i="30" s="1"/>
  <c r="C185" i="30"/>
  <c r="H185" i="30"/>
  <c r="P185" i="30"/>
  <c r="Q186" i="30" s="1"/>
  <c r="X185" i="30"/>
  <c r="Y186" i="30" s="1"/>
  <c r="AF185" i="30"/>
  <c r="AG186" i="30" s="1"/>
  <c r="I185" i="30"/>
  <c r="Q185" i="30"/>
  <c r="R186" i="30" s="1"/>
  <c r="Y185" i="30"/>
  <c r="Z186" i="30" s="1"/>
  <c r="AG185" i="30"/>
  <c r="AH186" i="30" s="1"/>
  <c r="J185" i="30"/>
  <c r="R185" i="30"/>
  <c r="S186" i="30" s="1"/>
  <c r="Z185" i="30"/>
  <c r="AA186" i="30" s="1"/>
  <c r="AH185" i="30"/>
  <c r="AI186" i="30" s="1"/>
  <c r="H408" i="39"/>
  <c r="G7" i="22"/>
  <c r="I404" i="39"/>
  <c r="H7" i="18"/>
  <c r="G409" i="39"/>
  <c r="F7" i="23"/>
  <c r="CT87" i="39"/>
  <c r="CT74" i="39"/>
  <c r="CT99" i="39"/>
  <c r="CT52" i="39"/>
  <c r="CT39" i="39"/>
  <c r="CT97" i="39"/>
  <c r="CT104" i="39"/>
  <c r="CT62" i="39"/>
  <c r="CT45" i="39"/>
  <c r="CT42" i="39"/>
  <c r="CT26" i="39"/>
  <c r="CT33" i="39"/>
  <c r="CT79" i="39"/>
  <c r="CT44" i="39"/>
  <c r="CT101" i="39"/>
  <c r="CT66" i="39"/>
  <c r="CT91" i="39"/>
  <c r="CT48" i="39"/>
  <c r="CT63" i="39"/>
  <c r="CT51" i="39"/>
  <c r="CT89" i="39"/>
  <c r="CT96" i="39"/>
  <c r="CT93" i="39"/>
  <c r="CT58" i="39"/>
  <c r="CT83" i="39"/>
  <c r="CT98" i="39"/>
  <c r="CT81" i="39"/>
  <c r="CT88" i="39"/>
  <c r="CT36" i="39"/>
  <c r="CT102" i="39"/>
  <c r="CT67" i="39"/>
  <c r="CT43" i="39"/>
  <c r="CT27" i="39"/>
  <c r="CT85" i="39"/>
  <c r="CT100" i="39"/>
  <c r="CT90" i="39"/>
  <c r="CT80" i="39"/>
  <c r="CT68" i="39"/>
  <c r="CT94" i="39"/>
  <c r="CT28" i="39"/>
  <c r="CT86" i="39"/>
  <c r="CT84" i="39"/>
  <c r="CT73" i="39"/>
  <c r="CT71" i="39"/>
  <c r="CT103" i="39"/>
  <c r="CT60" i="39"/>
  <c r="CT40" i="39"/>
  <c r="CT55" i="39"/>
  <c r="CT57" i="39"/>
  <c r="CT41" i="39"/>
  <c r="CT64" i="39"/>
  <c r="CT32" i="39"/>
  <c r="CT47" i="39"/>
  <c r="CT70" i="39"/>
  <c r="CT30" i="39"/>
  <c r="CT37" i="39"/>
  <c r="CT34" i="39"/>
  <c r="CT59" i="39"/>
  <c r="CT92" i="39"/>
  <c r="CT72" i="39"/>
  <c r="CT69" i="39"/>
  <c r="CT77" i="39"/>
  <c r="CT76" i="39"/>
  <c r="CT46" i="39"/>
  <c r="CT50" i="39"/>
  <c r="CT65" i="39"/>
  <c r="CT49" i="39"/>
  <c r="CT25" i="39"/>
  <c r="CT78" i="39"/>
  <c r="CT56" i="39"/>
  <c r="CT82" i="39"/>
  <c r="CT31" i="39"/>
  <c r="CT95" i="39"/>
  <c r="CT35" i="39"/>
  <c r="CT75" i="39"/>
  <c r="CT38" i="39"/>
  <c r="CT29" i="39"/>
  <c r="CT54" i="39"/>
  <c r="CT24" i="39"/>
  <c r="CT61" i="39"/>
  <c r="CT53" i="39"/>
  <c r="CU102" i="39"/>
  <c r="CW94" i="39"/>
  <c r="CW77" i="39"/>
  <c r="K222" i="39" s="1"/>
  <c r="CU58" i="39"/>
  <c r="CU34" i="39"/>
  <c r="CU74" i="39"/>
  <c r="CU63" i="39"/>
  <c r="CU50" i="39"/>
  <c r="CU31" i="39"/>
  <c r="CW71" i="39"/>
  <c r="CU104" i="39"/>
  <c r="CU69" i="39"/>
  <c r="CU45" i="39"/>
  <c r="CU29" i="39"/>
  <c r="CW60" i="39"/>
  <c r="CW36" i="39"/>
  <c r="CU46" i="39"/>
  <c r="CW43" i="39"/>
  <c r="CW50" i="39"/>
  <c r="K215" i="39" s="1"/>
  <c r="CU56" i="39"/>
  <c r="CU94" i="39"/>
  <c r="CU86" i="39"/>
  <c r="CW74" i="39"/>
  <c r="CW41" i="39"/>
  <c r="CU73" i="39"/>
  <c r="CW98" i="39"/>
  <c r="CU71" i="39"/>
  <c r="CW38" i="39"/>
  <c r="CW104" i="39"/>
  <c r="CU96" i="39"/>
  <c r="CW69" i="39"/>
  <c r="K220" i="39" s="1"/>
  <c r="CU103" i="39"/>
  <c r="CU61" i="39"/>
  <c r="CU44" i="39"/>
  <c r="CU38" i="39"/>
  <c r="CW59" i="39"/>
  <c r="CW86" i="39"/>
  <c r="CU78" i="39"/>
  <c r="CW75" i="39"/>
  <c r="CU100" i="39"/>
  <c r="CU65" i="39"/>
  <c r="CW73" i="39"/>
  <c r="CU98" i="39"/>
  <c r="CU90" i="39"/>
  <c r="CU47" i="39"/>
  <c r="CW62" i="39"/>
  <c r="CW96" i="39"/>
  <c r="CW88" i="39"/>
  <c r="CW103" i="39"/>
  <c r="CU95" i="39"/>
  <c r="CW44" i="39"/>
  <c r="CU30" i="39"/>
  <c r="CW34" i="39"/>
  <c r="CU64" i="39"/>
  <c r="CW78" i="39"/>
  <c r="CU75" i="39"/>
  <c r="CW100" i="39"/>
  <c r="CU92" i="39"/>
  <c r="CW65" i="39"/>
  <c r="CW57" i="39"/>
  <c r="CW25" i="39"/>
  <c r="CW90" i="39"/>
  <c r="CU82" i="39"/>
  <c r="CU97" i="39"/>
  <c r="CU62" i="39"/>
  <c r="CU88" i="39"/>
  <c r="CW80" i="39"/>
  <c r="CW95" i="39"/>
  <c r="CU87" i="39"/>
  <c r="CU101" i="39"/>
  <c r="CU66" i="39"/>
  <c r="CW101" i="39"/>
  <c r="CU93" i="39"/>
  <c r="CU84" i="39"/>
  <c r="CU76" i="39"/>
  <c r="CW99" i="39"/>
  <c r="CU91" i="39"/>
  <c r="CU55" i="39"/>
  <c r="CU39" i="39"/>
  <c r="CW89" i="39"/>
  <c r="CU81" i="39"/>
  <c r="CW46" i="39"/>
  <c r="CW30" i="39"/>
  <c r="CU99" i="39"/>
  <c r="CW83" i="39"/>
  <c r="CW70" i="39"/>
  <c r="CU60" i="39"/>
  <c r="CW28" i="39"/>
  <c r="CW66" i="39"/>
  <c r="CU41" i="39"/>
  <c r="CW32" i="39"/>
  <c r="CW29" i="39"/>
  <c r="CW51" i="39"/>
  <c r="K216" i="39" s="1"/>
  <c r="CW39" i="39"/>
  <c r="CU51" i="39"/>
  <c r="CW84" i="39"/>
  <c r="CU83" i="39"/>
  <c r="CU70" i="39"/>
  <c r="CW24" i="39"/>
  <c r="CU54" i="39"/>
  <c r="CW58" i="39"/>
  <c r="CU43" i="39"/>
  <c r="CU85" i="39"/>
  <c r="CW82" i="39"/>
  <c r="K224" i="39" s="1"/>
  <c r="CU89" i="39"/>
  <c r="CU24" i="39"/>
  <c r="CW87" i="39"/>
  <c r="CW67" i="39"/>
  <c r="CW42" i="39"/>
  <c r="CW56" i="39"/>
  <c r="CU40" i="39"/>
  <c r="CW47" i="39"/>
  <c r="CU35" i="39"/>
  <c r="CW85" i="39"/>
  <c r="CW33" i="39"/>
  <c r="CW63" i="39"/>
  <c r="CU80" i="39"/>
  <c r="CU36" i="39"/>
  <c r="CW27" i="39"/>
  <c r="CW26" i="39"/>
  <c r="CU33" i="39"/>
  <c r="CW40" i="39"/>
  <c r="CU27" i="39"/>
  <c r="CW102" i="39"/>
  <c r="CU42" i="39"/>
  <c r="CW91" i="39"/>
  <c r="CU68" i="39"/>
  <c r="CU57" i="39"/>
  <c r="CW55" i="39"/>
  <c r="CW76" i="39"/>
  <c r="K221" i="39" s="1"/>
  <c r="CW68" i="39"/>
  <c r="CW64" i="39"/>
  <c r="CU48" i="39"/>
  <c r="CW61" i="39"/>
  <c r="CU53" i="39"/>
  <c r="CU77" i="39"/>
  <c r="CW92" i="39"/>
  <c r="CU72" i="39"/>
  <c r="CW54" i="39"/>
  <c r="K219" i="39" s="1"/>
  <c r="CW81" i="39"/>
  <c r="K223" i="39" s="1"/>
  <c r="CU79" i="39"/>
  <c r="CU49" i="39"/>
  <c r="CU25" i="39"/>
  <c r="CW48" i="39"/>
  <c r="CW45" i="39"/>
  <c r="CU52" i="39"/>
  <c r="CW31" i="39"/>
  <c r="CU67" i="39"/>
  <c r="CW93" i="39"/>
  <c r="CU26" i="39"/>
  <c r="CW49" i="39"/>
  <c r="CW72" i="39"/>
  <c r="CW53" i="39"/>
  <c r="K218" i="39" s="1"/>
  <c r="CW97" i="39"/>
  <c r="CW79" i="39"/>
  <c r="CU37" i="39"/>
  <c r="CU28" i="39"/>
  <c r="CW35" i="39"/>
  <c r="CU32" i="39"/>
  <c r="CW37" i="39"/>
  <c r="CW52" i="39"/>
  <c r="K217" i="39" s="1"/>
  <c r="CU59" i="39"/>
  <c r="CS80" i="39"/>
  <c r="CS102" i="39"/>
  <c r="CS67" i="39"/>
  <c r="CS43" i="39"/>
  <c r="CS92" i="39"/>
  <c r="CS64" i="39"/>
  <c r="CS90" i="39"/>
  <c r="CS55" i="39"/>
  <c r="CS39" i="39"/>
  <c r="CS97" i="39"/>
  <c r="CS61" i="39"/>
  <c r="CS66" i="39"/>
  <c r="CS94" i="39"/>
  <c r="CS59" i="39"/>
  <c r="CS84" i="39"/>
  <c r="CS99" i="39"/>
  <c r="CS82" i="39"/>
  <c r="CS52" i="39"/>
  <c r="CS89" i="39"/>
  <c r="CS70" i="39"/>
  <c r="CS103" i="39"/>
  <c r="CS68" i="39"/>
  <c r="CS44" i="39"/>
  <c r="CS28" i="39"/>
  <c r="CS86" i="39"/>
  <c r="CS27" i="39"/>
  <c r="CS101" i="39"/>
  <c r="CS76" i="39"/>
  <c r="CS91" i="39"/>
  <c r="CS51" i="39"/>
  <c r="CS81" i="39"/>
  <c r="CS69" i="39"/>
  <c r="CS95" i="39"/>
  <c r="CS78" i="39"/>
  <c r="CS93" i="39"/>
  <c r="CS24" i="39"/>
  <c r="CS83" i="39"/>
  <c r="CS48" i="39"/>
  <c r="CS32" i="39"/>
  <c r="CS31" i="39"/>
  <c r="CS71" i="39"/>
  <c r="CS87" i="39"/>
  <c r="CS104" i="39"/>
  <c r="CS79" i="39"/>
  <c r="CS35" i="39"/>
  <c r="CS77" i="39"/>
  <c r="CS65" i="39"/>
  <c r="CS63" i="39"/>
  <c r="CS47" i="39"/>
  <c r="CS96" i="39"/>
  <c r="CS88" i="39"/>
  <c r="CS56" i="39"/>
  <c r="CS58" i="39"/>
  <c r="CS42" i="39"/>
  <c r="CS54" i="39"/>
  <c r="CS38" i="39"/>
  <c r="CS49" i="39"/>
  <c r="CS60" i="39"/>
  <c r="CS100" i="39"/>
  <c r="CS73" i="39"/>
  <c r="CS53" i="39"/>
  <c r="CS45" i="39"/>
  <c r="CS29" i="39"/>
  <c r="CS98" i="39"/>
  <c r="CS26" i="39"/>
  <c r="CS57" i="39"/>
  <c r="CS25" i="39"/>
  <c r="CS40" i="39"/>
  <c r="CS36" i="39"/>
  <c r="CS75" i="39"/>
  <c r="CS74" i="39"/>
  <c r="CS30" i="39"/>
  <c r="CS33" i="39"/>
  <c r="CS50" i="39"/>
  <c r="CS62" i="39"/>
  <c r="CS46" i="39"/>
  <c r="CS37" i="39"/>
  <c r="CS34" i="39"/>
  <c r="CS85" i="39"/>
  <c r="CS72" i="39"/>
  <c r="CS41" i="39"/>
  <c r="K401" i="39"/>
  <c r="K7" i="15" s="1"/>
  <c r="S401" i="39"/>
  <c r="S7" i="15" s="1"/>
  <c r="AA401" i="39"/>
  <c r="AA7" i="15" s="1"/>
  <c r="AI401" i="39"/>
  <c r="AI7" i="15" s="1"/>
  <c r="F401" i="39"/>
  <c r="F7" i="15" s="1"/>
  <c r="L401" i="39"/>
  <c r="L7" i="15" s="1"/>
  <c r="T401" i="39"/>
  <c r="T7" i="15" s="1"/>
  <c r="AB401" i="39"/>
  <c r="AB7" i="15" s="1"/>
  <c r="M401" i="39"/>
  <c r="M7" i="15" s="1"/>
  <c r="U401" i="39"/>
  <c r="U7" i="15" s="1"/>
  <c r="AC401" i="39"/>
  <c r="AC7" i="15" s="1"/>
  <c r="N401" i="39"/>
  <c r="N7" i="15" s="1"/>
  <c r="V401" i="39"/>
  <c r="V7" i="15" s="1"/>
  <c r="AD401" i="39"/>
  <c r="AD7" i="15" s="1"/>
  <c r="B401" i="39"/>
  <c r="B7" i="15" s="1"/>
  <c r="G401" i="39"/>
  <c r="G7" i="15" s="1"/>
  <c r="O401" i="39"/>
  <c r="O7" i="15" s="1"/>
  <c r="W401" i="39"/>
  <c r="W7" i="15" s="1"/>
  <c r="AE401" i="39"/>
  <c r="AE7" i="15" s="1"/>
  <c r="H401" i="39"/>
  <c r="H7" i="15" s="1"/>
  <c r="P401" i="39"/>
  <c r="P7" i="15" s="1"/>
  <c r="X401" i="39"/>
  <c r="X7" i="15" s="1"/>
  <c r="AF401" i="39"/>
  <c r="AF7" i="15" s="1"/>
  <c r="I401" i="39"/>
  <c r="I7" i="15" s="1"/>
  <c r="Q401" i="39"/>
  <c r="Q7" i="15" s="1"/>
  <c r="Y401" i="39"/>
  <c r="Y7" i="15" s="1"/>
  <c r="AG401" i="39"/>
  <c r="AG7" i="15" s="1"/>
  <c r="D401" i="39"/>
  <c r="D7" i="15" s="1"/>
  <c r="C401" i="39"/>
  <c r="C7" i="15" s="1"/>
  <c r="J401" i="39"/>
  <c r="J7" i="15" s="1"/>
  <c r="R401" i="39"/>
  <c r="R7" i="15" s="1"/>
  <c r="Z401" i="39"/>
  <c r="Z7" i="15" s="1"/>
  <c r="AH401" i="39"/>
  <c r="AH7" i="15" s="1"/>
  <c r="E401" i="39"/>
  <c r="E7" i="15" s="1"/>
  <c r="CQ72" i="39"/>
  <c r="CQ88" i="39"/>
  <c r="CQ29" i="39"/>
  <c r="CQ103" i="39"/>
  <c r="CQ68" i="39"/>
  <c r="CQ28" i="39"/>
  <c r="CQ78" i="39"/>
  <c r="CQ93" i="39"/>
  <c r="CQ83" i="39"/>
  <c r="CQ48" i="39"/>
  <c r="CQ97" i="39"/>
  <c r="CQ80" i="39"/>
  <c r="CQ95" i="39"/>
  <c r="CQ85" i="39"/>
  <c r="CQ33" i="39"/>
  <c r="CQ73" i="39"/>
  <c r="CQ89" i="39"/>
  <c r="CQ87" i="39"/>
  <c r="CQ44" i="39"/>
  <c r="CQ77" i="39"/>
  <c r="CQ74" i="39"/>
  <c r="CQ40" i="39"/>
  <c r="CQ81" i="39"/>
  <c r="CQ37" i="39"/>
  <c r="CQ79" i="39"/>
  <c r="CQ60" i="39"/>
  <c r="CQ67" i="39"/>
  <c r="CQ65" i="39"/>
  <c r="CQ49" i="39"/>
  <c r="CQ64" i="39"/>
  <c r="CQ98" i="39"/>
  <c r="CQ90" i="39"/>
  <c r="CQ24" i="39"/>
  <c r="CQ70" i="39"/>
  <c r="CQ36" i="39"/>
  <c r="CQ102" i="39"/>
  <c r="CQ100" i="39"/>
  <c r="CQ82" i="39"/>
  <c r="CQ104" i="39"/>
  <c r="CQ45" i="39"/>
  <c r="CQ25" i="39"/>
  <c r="CQ56" i="39"/>
  <c r="CQ47" i="39"/>
  <c r="CQ50" i="39"/>
  <c r="CQ34" i="39"/>
  <c r="CQ71" i="39"/>
  <c r="CQ69" i="39"/>
  <c r="CQ86" i="39"/>
  <c r="CQ75" i="39"/>
  <c r="CQ91" i="39"/>
  <c r="CQ53" i="39"/>
  <c r="CQ55" i="39"/>
  <c r="CQ31" i="39"/>
  <c r="CQ59" i="39"/>
  <c r="CQ27" i="39"/>
  <c r="CQ84" i="39"/>
  <c r="CQ52" i="39"/>
  <c r="CQ54" i="39"/>
  <c r="CQ62" i="39"/>
  <c r="CQ57" i="39"/>
  <c r="CQ51" i="39"/>
  <c r="CQ38" i="39"/>
  <c r="CQ35" i="39"/>
  <c r="CQ94" i="39"/>
  <c r="CQ99" i="39"/>
  <c r="CQ32" i="39"/>
  <c r="CQ39" i="39"/>
  <c r="CQ42" i="39"/>
  <c r="CQ26" i="39"/>
  <c r="CQ96" i="39"/>
  <c r="CQ76" i="39"/>
  <c r="CQ66" i="39"/>
  <c r="CQ92" i="39"/>
  <c r="CQ63" i="39"/>
  <c r="CQ30" i="39"/>
  <c r="CQ43" i="39"/>
  <c r="CQ58" i="39"/>
  <c r="CQ61" i="39"/>
  <c r="CQ101" i="39"/>
  <c r="CQ41" i="39"/>
  <c r="CQ46" i="39"/>
  <c r="G405" i="39"/>
  <c r="F7" i="19"/>
  <c r="CV84" i="39"/>
  <c r="CV82" i="39"/>
  <c r="CV47" i="39"/>
  <c r="CV71" i="39"/>
  <c r="CV67" i="39"/>
  <c r="CV49" i="39"/>
  <c r="CV33" i="39"/>
  <c r="CV101" i="39"/>
  <c r="CV24" i="39"/>
  <c r="CV76" i="39"/>
  <c r="CV63" i="39"/>
  <c r="CV62" i="39"/>
  <c r="CV30" i="39"/>
  <c r="CV43" i="39"/>
  <c r="CV44" i="39"/>
  <c r="CV28" i="39"/>
  <c r="CV93" i="39"/>
  <c r="CV42" i="39"/>
  <c r="CV73" i="39"/>
  <c r="CV70" i="39"/>
  <c r="CV103" i="39"/>
  <c r="CV68" i="39"/>
  <c r="CV60" i="39"/>
  <c r="CV40" i="39"/>
  <c r="CV53" i="39"/>
  <c r="CV85" i="39"/>
  <c r="CV72" i="39"/>
  <c r="CV39" i="39"/>
  <c r="CV97" i="39"/>
  <c r="CV46" i="39"/>
  <c r="CV69" i="39"/>
  <c r="CV95" i="39"/>
  <c r="CV102" i="39"/>
  <c r="CV77" i="39"/>
  <c r="CV34" i="39"/>
  <c r="CV74" i="39"/>
  <c r="CV75" i="39"/>
  <c r="CV66" i="39"/>
  <c r="CV91" i="39"/>
  <c r="CV54" i="39"/>
  <c r="CV81" i="39"/>
  <c r="CV96" i="39"/>
  <c r="CV79" i="39"/>
  <c r="CV26" i="39"/>
  <c r="CV92" i="39"/>
  <c r="CV78" i="39"/>
  <c r="CV36" i="39"/>
  <c r="CV41" i="39"/>
  <c r="CV98" i="39"/>
  <c r="CV55" i="39"/>
  <c r="CV38" i="39"/>
  <c r="CV45" i="39"/>
  <c r="CV29" i="39"/>
  <c r="CV99" i="39"/>
  <c r="CV83" i="39"/>
  <c r="CV51" i="39"/>
  <c r="CV64" i="39"/>
  <c r="CV50" i="39"/>
  <c r="CV104" i="39"/>
  <c r="CV88" i="39"/>
  <c r="CV86" i="39"/>
  <c r="CV35" i="39"/>
  <c r="CV57" i="39"/>
  <c r="CV52" i="39"/>
  <c r="CV32" i="39"/>
  <c r="CV58" i="39"/>
  <c r="CV100" i="39"/>
  <c r="CV90" i="39"/>
  <c r="CV31" i="39"/>
  <c r="CV27" i="39"/>
  <c r="CV56" i="39"/>
  <c r="CV37" i="39"/>
  <c r="CV89" i="39"/>
  <c r="CV94" i="39"/>
  <c r="CV25" i="39"/>
  <c r="CV80" i="39"/>
  <c r="CV61" i="39"/>
  <c r="CV87" i="39"/>
  <c r="CV59" i="39"/>
  <c r="CV65" i="39"/>
  <c r="CV48" i="39"/>
  <c r="CP53" i="39"/>
  <c r="CP98" i="39"/>
  <c r="CP81" i="39"/>
  <c r="CP96" i="39"/>
  <c r="CP86" i="39"/>
  <c r="CP74" i="39"/>
  <c r="CP52" i="39"/>
  <c r="CP32" i="39"/>
  <c r="CP90" i="39"/>
  <c r="CP88" i="39"/>
  <c r="CP45" i="39"/>
  <c r="CP78" i="39"/>
  <c r="CP75" i="39"/>
  <c r="CP82" i="39"/>
  <c r="CP38" i="39"/>
  <c r="CP80" i="39"/>
  <c r="CP61" i="39"/>
  <c r="CP68" i="39"/>
  <c r="CP65" i="39"/>
  <c r="CP51" i="39"/>
  <c r="CP40" i="39"/>
  <c r="CP47" i="39"/>
  <c r="CP31" i="39"/>
  <c r="CP99" i="39"/>
  <c r="CP60" i="39"/>
  <c r="CP76" i="39"/>
  <c r="CP91" i="39"/>
  <c r="CP83" i="39"/>
  <c r="CP70" i="39"/>
  <c r="CP95" i="39"/>
  <c r="CP67" i="39"/>
  <c r="CP93" i="39"/>
  <c r="CP100" i="39"/>
  <c r="CP72" i="39"/>
  <c r="CP89" i="39"/>
  <c r="CP71" i="39"/>
  <c r="CP69" i="39"/>
  <c r="CP103" i="39"/>
  <c r="CP87" i="39"/>
  <c r="CP92" i="39"/>
  <c r="CP56" i="39"/>
  <c r="CP49" i="39"/>
  <c r="CP28" i="39"/>
  <c r="CP42" i="39"/>
  <c r="CP94" i="39"/>
  <c r="CP101" i="39"/>
  <c r="CP85" i="39"/>
  <c r="CP63" i="39"/>
  <c r="CP41" i="39"/>
  <c r="CP34" i="39"/>
  <c r="CP39" i="39"/>
  <c r="CP33" i="39"/>
  <c r="CP36" i="39"/>
  <c r="CP26" i="39"/>
  <c r="CP43" i="39"/>
  <c r="CP27" i="39"/>
  <c r="CP73" i="39"/>
  <c r="CP97" i="39"/>
  <c r="CP30" i="39"/>
  <c r="CP37" i="39"/>
  <c r="CP79" i="39"/>
  <c r="CP64" i="39"/>
  <c r="CP44" i="39"/>
  <c r="CP59" i="39"/>
  <c r="CP62" i="39"/>
  <c r="CP102" i="39"/>
  <c r="CP77" i="39"/>
  <c r="CP84" i="39"/>
  <c r="CP54" i="39"/>
  <c r="CP55" i="39"/>
  <c r="CP66" i="39"/>
  <c r="CP24" i="39"/>
  <c r="CP29" i="39"/>
  <c r="CP25" i="39"/>
  <c r="CP46" i="39"/>
  <c r="CP58" i="39"/>
  <c r="CP104" i="39"/>
  <c r="CP48" i="39"/>
  <c r="CP57" i="39"/>
  <c r="CP50" i="39"/>
  <c r="CP35" i="39"/>
  <c r="H417" i="39"/>
  <c r="G8" i="18"/>
  <c r="E433" i="39"/>
  <c r="F355" i="39"/>
  <c r="F3" i="21" s="1"/>
  <c r="M6" i="18"/>
  <c r="CK105" i="39"/>
  <c r="BR105" i="39"/>
  <c r="CE105" i="39" s="1"/>
  <c r="CB105" i="39" s="1"/>
  <c r="F7" i="16"/>
  <c r="G402" i="39"/>
  <c r="H345" i="39"/>
  <c r="G436" i="39"/>
  <c r="G432" i="39"/>
  <c r="H354" i="39"/>
  <c r="H3" i="18"/>
  <c r="L172" i="30"/>
  <c r="K209" i="30"/>
  <c r="BO81" i="39"/>
  <c r="F105" i="39"/>
  <c r="N177" i="30" l="1"/>
  <c r="N183" i="30"/>
  <c r="H405" i="39"/>
  <c r="G7" i="19"/>
  <c r="E186" i="30"/>
  <c r="D209" i="30"/>
  <c r="H403" i="39"/>
  <c r="G7" i="17"/>
  <c r="I408" i="39"/>
  <c r="H7" i="22"/>
  <c r="J186" i="30"/>
  <c r="I209" i="30"/>
  <c r="I417" i="39"/>
  <c r="H8" i="18"/>
  <c r="H186" i="30"/>
  <c r="G209" i="30"/>
  <c r="F186" i="30"/>
  <c r="E209" i="30"/>
  <c r="D200" i="30"/>
  <c r="H409" i="39"/>
  <c r="G7" i="23"/>
  <c r="K186" i="30"/>
  <c r="J209" i="30"/>
  <c r="I186" i="30"/>
  <c r="H209" i="30"/>
  <c r="BO105" i="39"/>
  <c r="CR70" i="39"/>
  <c r="CR95" i="39"/>
  <c r="CR60" i="39"/>
  <c r="CR85" i="39"/>
  <c r="CR100" i="39"/>
  <c r="CR83" i="39"/>
  <c r="CR90" i="39"/>
  <c r="CR25" i="39"/>
  <c r="CR43" i="39"/>
  <c r="CR71" i="39"/>
  <c r="CR104" i="39"/>
  <c r="CR69" i="39"/>
  <c r="CR45" i="39"/>
  <c r="CR29" i="39"/>
  <c r="CR87" i="39"/>
  <c r="CR28" i="39"/>
  <c r="CR102" i="39"/>
  <c r="CR53" i="39"/>
  <c r="CR77" i="39"/>
  <c r="CR92" i="39"/>
  <c r="CR82" i="39"/>
  <c r="CR96" i="39"/>
  <c r="CR79" i="39"/>
  <c r="CR94" i="39"/>
  <c r="CR52" i="39"/>
  <c r="CR84" i="39"/>
  <c r="CR49" i="39"/>
  <c r="CR33" i="39"/>
  <c r="CR32" i="39"/>
  <c r="CR72" i="39"/>
  <c r="CR55" i="39"/>
  <c r="CR31" i="39"/>
  <c r="CR30" i="39"/>
  <c r="CR51" i="39"/>
  <c r="CR88" i="39"/>
  <c r="CR86" i="39"/>
  <c r="CR75" i="39"/>
  <c r="CR73" i="39"/>
  <c r="CR80" i="39"/>
  <c r="CR97" i="39"/>
  <c r="CR61" i="39"/>
  <c r="CR37" i="39"/>
  <c r="CR24" i="39"/>
  <c r="CR74" i="39"/>
  <c r="CR57" i="39"/>
  <c r="CR89" i="39"/>
  <c r="CR39" i="39"/>
  <c r="CR103" i="39"/>
  <c r="CR44" i="39"/>
  <c r="CR101" i="39"/>
  <c r="CR66" i="39"/>
  <c r="CR46" i="39"/>
  <c r="CR81" i="39"/>
  <c r="CR68" i="39"/>
  <c r="CR36" i="39"/>
  <c r="CR99" i="39"/>
  <c r="CR64" i="39"/>
  <c r="CR27" i="39"/>
  <c r="CR58" i="39"/>
  <c r="CR26" i="39"/>
  <c r="CR78" i="39"/>
  <c r="CR41" i="39"/>
  <c r="CR67" i="39"/>
  <c r="CR56" i="39"/>
  <c r="CR54" i="39"/>
  <c r="CR34" i="39"/>
  <c r="CR93" i="39"/>
  <c r="CR48" i="39"/>
  <c r="CR98" i="39"/>
  <c r="CR63" i="39"/>
  <c r="CR47" i="39"/>
  <c r="CR38" i="39"/>
  <c r="CR35" i="39"/>
  <c r="CR65" i="39"/>
  <c r="CR91" i="39"/>
  <c r="CR62" i="39"/>
  <c r="CR42" i="39"/>
  <c r="CR40" i="39"/>
  <c r="CR50" i="39"/>
  <c r="CR59" i="39"/>
  <c r="CR76" i="39"/>
  <c r="J404" i="39"/>
  <c r="I7" i="18"/>
  <c r="C209" i="30"/>
  <c r="D186" i="30"/>
  <c r="G186" i="30"/>
  <c r="F209" i="30"/>
  <c r="F433" i="39"/>
  <c r="G355" i="39"/>
  <c r="G3" i="21" s="1"/>
  <c r="N6" i="18"/>
  <c r="H402" i="39"/>
  <c r="G7" i="16"/>
  <c r="M172" i="30"/>
  <c r="L209" i="30"/>
  <c r="I3" i="18"/>
  <c r="I354" i="39"/>
  <c r="H432" i="39"/>
  <c r="I345" i="39"/>
  <c r="H436" i="39"/>
  <c r="O177" i="30" l="1"/>
  <c r="O183" i="30"/>
  <c r="J408" i="39"/>
  <c r="I7" i="22"/>
  <c r="I403" i="39"/>
  <c r="H7" i="17"/>
  <c r="K404" i="39"/>
  <c r="J7" i="18"/>
  <c r="I409" i="39"/>
  <c r="H7" i="23"/>
  <c r="J417" i="39"/>
  <c r="I8" i="18"/>
  <c r="CO46" i="39"/>
  <c r="CO25" i="39"/>
  <c r="CO89" i="39"/>
  <c r="CO30" i="39"/>
  <c r="CO93" i="39"/>
  <c r="CO50" i="39"/>
  <c r="CO96" i="39"/>
  <c r="CO74" i="39"/>
  <c r="CO62" i="39"/>
  <c r="CO71" i="39"/>
  <c r="CO60" i="39"/>
  <c r="CO57" i="39"/>
  <c r="CO90" i="39"/>
  <c r="CO35" i="39"/>
  <c r="CO37" i="39"/>
  <c r="CO67" i="39"/>
  <c r="CO100" i="39"/>
  <c r="CO32" i="39"/>
  <c r="CO97" i="39"/>
  <c r="CO91" i="39"/>
  <c r="CO65" i="39"/>
  <c r="CO28" i="39"/>
  <c r="CO61" i="39"/>
  <c r="CO31" i="39"/>
  <c r="CO86" i="39"/>
  <c r="CO79" i="39"/>
  <c r="CO58" i="39"/>
  <c r="CO72" i="39"/>
  <c r="CO68" i="39"/>
  <c r="CO39" i="39"/>
  <c r="CO45" i="39"/>
  <c r="CO47" i="39"/>
  <c r="CO55" i="39"/>
  <c r="CO59" i="39"/>
  <c r="CO95" i="39"/>
  <c r="CO36" i="39"/>
  <c r="CO94" i="39"/>
  <c r="CO80" i="39"/>
  <c r="CO24" i="39"/>
  <c r="CO82" i="39"/>
  <c r="CO41" i="39"/>
  <c r="CO48" i="39"/>
  <c r="CO52" i="39"/>
  <c r="CO44" i="39"/>
  <c r="CO81" i="39"/>
  <c r="CO29" i="39"/>
  <c r="CO73" i="39"/>
  <c r="CO63" i="39"/>
  <c r="CO101" i="39"/>
  <c r="CO78" i="39"/>
  <c r="CO66" i="39"/>
  <c r="CO70" i="39"/>
  <c r="CO49" i="39"/>
  <c r="CO40" i="39"/>
  <c r="CO27" i="39"/>
  <c r="CO38" i="39"/>
  <c r="CO85" i="39"/>
  <c r="CO83" i="39"/>
  <c r="CO56" i="39"/>
  <c r="CO99" i="39"/>
  <c r="CO75" i="39"/>
  <c r="CO92" i="39"/>
  <c r="CO104" i="39"/>
  <c r="CO84" i="39"/>
  <c r="CO53" i="39"/>
  <c r="CO43" i="39"/>
  <c r="CO102" i="39"/>
  <c r="CO26" i="39"/>
  <c r="CO51" i="39"/>
  <c r="CO69" i="39"/>
  <c r="CO98" i="39"/>
  <c r="CO77" i="39"/>
  <c r="CO64" i="39"/>
  <c r="CO54" i="39"/>
  <c r="CO34" i="39"/>
  <c r="CO87" i="39"/>
  <c r="CO103" i="39"/>
  <c r="CO42" i="39"/>
  <c r="CO33" i="39"/>
  <c r="CO88" i="39"/>
  <c r="CO76" i="39"/>
  <c r="I405" i="39"/>
  <c r="H7" i="19"/>
  <c r="H355" i="39"/>
  <c r="H3" i="21" s="1"/>
  <c r="G433" i="39"/>
  <c r="O6" i="18"/>
  <c r="I402" i="39"/>
  <c r="H7" i="16"/>
  <c r="J354" i="39"/>
  <c r="I432" i="39"/>
  <c r="J345" i="39"/>
  <c r="I436" i="39"/>
  <c r="J3" i="18"/>
  <c r="N172" i="30"/>
  <c r="M209" i="30"/>
  <c r="N27" i="33"/>
  <c r="F133" i="30"/>
  <c r="E133" i="30"/>
  <c r="B133" i="30"/>
  <c r="C133" i="30"/>
  <c r="G133" i="30"/>
  <c r="I133" i="30"/>
  <c r="K133" i="30"/>
  <c r="L133" i="30"/>
  <c r="O133" i="30"/>
  <c r="P177" i="30" l="1"/>
  <c r="P183" i="30"/>
  <c r="L404" i="39"/>
  <c r="K7" i="18"/>
  <c r="J403" i="39"/>
  <c r="I7" i="17"/>
  <c r="K417" i="39"/>
  <c r="J8" i="18"/>
  <c r="K408" i="39"/>
  <c r="J7" i="22"/>
  <c r="J405" i="39"/>
  <c r="I7" i="19"/>
  <c r="J409" i="39"/>
  <c r="I7" i="23"/>
  <c r="H433" i="39"/>
  <c r="I355" i="39"/>
  <c r="I3" i="21" s="1"/>
  <c r="P6" i="18"/>
  <c r="J402" i="39"/>
  <c r="I7" i="16"/>
  <c r="O172" i="30"/>
  <c r="N209" i="30"/>
  <c r="K3" i="18"/>
  <c r="K345" i="39"/>
  <c r="J436" i="39"/>
  <c r="K354" i="39"/>
  <c r="J432" i="39"/>
  <c r="C296" i="39"/>
  <c r="J60" i="33"/>
  <c r="L242" i="39"/>
  <c r="F257" i="39"/>
  <c r="G257" i="39"/>
  <c r="H258" i="39"/>
  <c r="I257" i="39"/>
  <c r="E160" i="39"/>
  <c r="E257" i="39"/>
  <c r="C105" i="36"/>
  <c r="C106" i="36"/>
  <c r="C107" i="36"/>
  <c r="C108" i="36"/>
  <c r="C109" i="36"/>
  <c r="C110" i="36"/>
  <c r="C111" i="36"/>
  <c r="C104" i="36"/>
  <c r="C95" i="36"/>
  <c r="C97" i="36"/>
  <c r="C98" i="36"/>
  <c r="C99" i="36"/>
  <c r="C100" i="36"/>
  <c r="C101" i="36"/>
  <c r="C94" i="36"/>
  <c r="Q177" i="30" l="1"/>
  <c r="I433" i="39"/>
  <c r="Q183" i="30"/>
  <c r="L417" i="39"/>
  <c r="K8" i="18"/>
  <c r="K409" i="39"/>
  <c r="J7" i="23"/>
  <c r="K403" i="39"/>
  <c r="J7" i="17"/>
  <c r="K405" i="39"/>
  <c r="J7" i="19"/>
  <c r="M404" i="39"/>
  <c r="L7" i="18"/>
  <c r="L408" i="39"/>
  <c r="K7" i="22"/>
  <c r="J355" i="39"/>
  <c r="J3" i="21" s="1"/>
  <c r="Q6" i="18"/>
  <c r="K402" i="39"/>
  <c r="J7" i="16"/>
  <c r="L354" i="39"/>
  <c r="K432" i="39"/>
  <c r="L345" i="39"/>
  <c r="K436" i="39"/>
  <c r="L3" i="18"/>
  <c r="P172" i="30"/>
  <c r="O209" i="30"/>
  <c r="B274" i="39"/>
  <c r="C274" i="39"/>
  <c r="D274" i="39"/>
  <c r="D276" i="39" s="1"/>
  <c r="N247" i="39"/>
  <c r="H139" i="39"/>
  <c r="H141" i="39"/>
  <c r="H142" i="39"/>
  <c r="H143" i="39"/>
  <c r="H145" i="39"/>
  <c r="H146" i="39"/>
  <c r="H148" i="39"/>
  <c r="H150" i="39"/>
  <c r="H151" i="39"/>
  <c r="H152" i="39"/>
  <c r="H153" i="39"/>
  <c r="H155" i="39"/>
  <c r="H156" i="39"/>
  <c r="H158" i="39"/>
  <c r="H138" i="39"/>
  <c r="E159" i="39"/>
  <c r="G52" i="28"/>
  <c r="H35" i="28"/>
  <c r="H34" i="28"/>
  <c r="H33" i="28"/>
  <c r="I258" i="39"/>
  <c r="I259" i="39" s="1"/>
  <c r="B51" i="28"/>
  <c r="H257" i="39"/>
  <c r="H259" i="39" s="1"/>
  <c r="G258" i="39"/>
  <c r="F258" i="39"/>
  <c r="E258" i="39"/>
  <c r="D257" i="39"/>
  <c r="C258" i="39"/>
  <c r="C257" i="39"/>
  <c r="L243" i="39"/>
  <c r="L244" i="39" s="1"/>
  <c r="M105" i="39"/>
  <c r="I104" i="39"/>
  <c r="I105" i="39"/>
  <c r="R177" i="30" l="1"/>
  <c r="R183" i="30"/>
  <c r="L409" i="39"/>
  <c r="K7" i="23"/>
  <c r="F259" i="39"/>
  <c r="L403" i="39"/>
  <c r="K7" i="17"/>
  <c r="G259" i="39"/>
  <c r="I149" i="39"/>
  <c r="N404" i="39"/>
  <c r="M7" i="18"/>
  <c r="M417" i="39"/>
  <c r="L8" i="18"/>
  <c r="L405" i="39"/>
  <c r="K7" i="19"/>
  <c r="M408" i="39"/>
  <c r="L7" i="22"/>
  <c r="J433" i="39"/>
  <c r="K355" i="39"/>
  <c r="K3" i="21" s="1"/>
  <c r="R6" i="18"/>
  <c r="L402" i="39"/>
  <c r="K7" i="16"/>
  <c r="Q172" i="30"/>
  <c r="P209" i="30"/>
  <c r="M3" i="18"/>
  <c r="M345" i="39"/>
  <c r="L436" i="39"/>
  <c r="M354" i="39"/>
  <c r="L432" i="39"/>
  <c r="D259" i="39"/>
  <c r="C276" i="39"/>
  <c r="C259" i="39"/>
  <c r="B276" i="39"/>
  <c r="AY54" i="39"/>
  <c r="S177" i="30" l="1"/>
  <c r="S183" i="30"/>
  <c r="N417" i="39"/>
  <c r="M8" i="18"/>
  <c r="M403" i="39"/>
  <c r="L7" i="17"/>
  <c r="O404" i="39"/>
  <c r="N7" i="18"/>
  <c r="B414" i="39"/>
  <c r="C414" i="39"/>
  <c r="AI414" i="39"/>
  <c r="M405" i="39"/>
  <c r="L7" i="19"/>
  <c r="M409" i="39"/>
  <c r="L7" i="23"/>
  <c r="N408" i="39"/>
  <c r="M7" i="22"/>
  <c r="L355" i="39"/>
  <c r="L3" i="21" s="1"/>
  <c r="K433" i="39"/>
  <c r="S6" i="18"/>
  <c r="M402" i="39"/>
  <c r="L7" i="16"/>
  <c r="N354" i="39"/>
  <c r="M432" i="39"/>
  <c r="N345" i="39"/>
  <c r="M436" i="39"/>
  <c r="N3" i="18"/>
  <c r="R172" i="30"/>
  <c r="Q209" i="30"/>
  <c r="C278" i="39"/>
  <c r="I25" i="39"/>
  <c r="I26" i="39"/>
  <c r="I28" i="39"/>
  <c r="I29" i="39"/>
  <c r="I30" i="39"/>
  <c r="I31" i="39"/>
  <c r="I32" i="39"/>
  <c r="I33" i="39"/>
  <c r="I34" i="39"/>
  <c r="I35" i="39"/>
  <c r="I36" i="39"/>
  <c r="I37" i="39"/>
  <c r="I38" i="39"/>
  <c r="I39" i="39"/>
  <c r="I40" i="39"/>
  <c r="I41" i="39"/>
  <c r="I42" i="39"/>
  <c r="I43" i="39"/>
  <c r="I44" i="39"/>
  <c r="I45" i="39"/>
  <c r="I46" i="39"/>
  <c r="I47" i="39"/>
  <c r="I48" i="39"/>
  <c r="I49" i="39"/>
  <c r="I50" i="39"/>
  <c r="I51" i="39"/>
  <c r="I52" i="39"/>
  <c r="I53" i="39"/>
  <c r="I54" i="39"/>
  <c r="I55" i="39"/>
  <c r="I56" i="39"/>
  <c r="I57" i="39"/>
  <c r="I58" i="39"/>
  <c r="I59" i="39"/>
  <c r="I60" i="39"/>
  <c r="I61" i="39"/>
  <c r="I62" i="39"/>
  <c r="I63" i="39"/>
  <c r="I64" i="39"/>
  <c r="I65" i="39"/>
  <c r="I66" i="39"/>
  <c r="I67" i="39"/>
  <c r="I68" i="39"/>
  <c r="I69" i="39"/>
  <c r="I70" i="39"/>
  <c r="I71" i="39"/>
  <c r="I72" i="39"/>
  <c r="I73" i="39"/>
  <c r="I74" i="39"/>
  <c r="I75" i="39"/>
  <c r="I76" i="39"/>
  <c r="I77" i="39"/>
  <c r="I78" i="39"/>
  <c r="I79" i="39"/>
  <c r="I80" i="39"/>
  <c r="I81" i="39"/>
  <c r="I82" i="39"/>
  <c r="I83" i="39"/>
  <c r="I84" i="39"/>
  <c r="I85" i="39"/>
  <c r="I86" i="39"/>
  <c r="I87" i="39"/>
  <c r="I88" i="39"/>
  <c r="I89" i="39"/>
  <c r="I90" i="39"/>
  <c r="I91" i="39"/>
  <c r="I92" i="39"/>
  <c r="I93" i="39"/>
  <c r="I94" i="39"/>
  <c r="I95" i="39"/>
  <c r="I96" i="39"/>
  <c r="I97" i="39"/>
  <c r="I98" i="39"/>
  <c r="I99" i="39"/>
  <c r="I100" i="39"/>
  <c r="I101" i="39"/>
  <c r="I102" i="39"/>
  <c r="I103" i="39"/>
  <c r="I24" i="39"/>
  <c r="H219" i="39"/>
  <c r="X106" i="39"/>
  <c r="W106" i="39"/>
  <c r="U106" i="39"/>
  <c r="T106" i="39"/>
  <c r="S106" i="39"/>
  <c r="R106" i="39"/>
  <c r="I215" i="39"/>
  <c r="I216" i="39"/>
  <c r="I224" i="39"/>
  <c r="C223" i="39"/>
  <c r="R135" i="30"/>
  <c r="R136" i="30" s="1"/>
  <c r="H185" i="39"/>
  <c r="G185" i="39"/>
  <c r="AJ123" i="30"/>
  <c r="AK123" i="30"/>
  <c r="I190" i="39"/>
  <c r="K185" i="39"/>
  <c r="J185" i="39"/>
  <c r="H136" i="39"/>
  <c r="I185" i="39"/>
  <c r="F185" i="39"/>
  <c r="C185" i="39"/>
  <c r="I151" i="39"/>
  <c r="V106" i="39"/>
  <c r="AK106" i="39"/>
  <c r="AJ106" i="39"/>
  <c r="AI106" i="39"/>
  <c r="AE106" i="39"/>
  <c r="AH106" i="39"/>
  <c r="I119" i="39"/>
  <c r="Q147" i="39" s="1"/>
  <c r="J119" i="39"/>
  <c r="Q146" i="39" s="1"/>
  <c r="T177" i="30" l="1"/>
  <c r="T183" i="30"/>
  <c r="N403" i="39"/>
  <c r="M7" i="17"/>
  <c r="N405" i="39"/>
  <c r="M7" i="19"/>
  <c r="AI8" i="15"/>
  <c r="O408" i="39"/>
  <c r="N7" i="22"/>
  <c r="C8" i="15"/>
  <c r="B8" i="15"/>
  <c r="N409" i="39"/>
  <c r="M7" i="23"/>
  <c r="P404" i="39"/>
  <c r="O7" i="18"/>
  <c r="O417" i="39"/>
  <c r="N8" i="18"/>
  <c r="L433" i="39"/>
  <c r="M355" i="39"/>
  <c r="M3" i="21" s="1"/>
  <c r="T6" i="18"/>
  <c r="N402" i="39"/>
  <c r="M7" i="16"/>
  <c r="S172" i="30"/>
  <c r="R209" i="30"/>
  <c r="O3" i="18"/>
  <c r="O345" i="39"/>
  <c r="N436" i="39"/>
  <c r="O354" i="39"/>
  <c r="N432" i="39"/>
  <c r="J192" i="39"/>
  <c r="G192" i="39"/>
  <c r="C189" i="39"/>
  <c r="B288" i="39" s="1"/>
  <c r="AE109" i="39"/>
  <c r="K119" i="39"/>
  <c r="Q148" i="39" s="1"/>
  <c r="AF109" i="39"/>
  <c r="AG106" i="39" s="1"/>
  <c r="G140" i="39"/>
  <c r="G157" i="39" s="1"/>
  <c r="L119" i="39"/>
  <c r="AG109" i="39"/>
  <c r="AH109" i="39"/>
  <c r="M119" i="39"/>
  <c r="AI109" i="39"/>
  <c r="G222" i="39"/>
  <c r="I221" i="39"/>
  <c r="D223" i="39"/>
  <c r="AI362" i="39" s="1"/>
  <c r="I218" i="39"/>
  <c r="I217" i="39"/>
  <c r="I223" i="39"/>
  <c r="C224" i="39"/>
  <c r="E221" i="39"/>
  <c r="G219" i="39"/>
  <c r="C218" i="39"/>
  <c r="G216" i="39"/>
  <c r="C215" i="39"/>
  <c r="J223" i="39"/>
  <c r="J222" i="39"/>
  <c r="D221" i="39"/>
  <c r="G220" i="39"/>
  <c r="J224" i="39"/>
  <c r="G223" i="39"/>
  <c r="C221" i="39"/>
  <c r="C219" i="39"/>
  <c r="G217" i="39"/>
  <c r="D216" i="39"/>
  <c r="E222" i="39"/>
  <c r="E220" i="39"/>
  <c r="J218" i="39"/>
  <c r="C216" i="39"/>
  <c r="J220" i="39"/>
  <c r="G224" i="39"/>
  <c r="E223" i="39"/>
  <c r="D222" i="39"/>
  <c r="D220" i="39"/>
  <c r="C222" i="39"/>
  <c r="C220" i="39"/>
  <c r="D217" i="39"/>
  <c r="G215" i="39"/>
  <c r="E224" i="39"/>
  <c r="J221" i="39"/>
  <c r="E218" i="39"/>
  <c r="C217" i="39"/>
  <c r="E215" i="39"/>
  <c r="D224" i="39"/>
  <c r="G221" i="39"/>
  <c r="J219" i="39"/>
  <c r="D218" i="39"/>
  <c r="J216" i="39"/>
  <c r="D215" i="39"/>
  <c r="AI349" i="39" s="1"/>
  <c r="G218" i="39"/>
  <c r="E217" i="39"/>
  <c r="J215" i="39"/>
  <c r="H222" i="39"/>
  <c r="H220" i="39"/>
  <c r="H218" i="39"/>
  <c r="H221" i="39"/>
  <c r="H217" i="39"/>
  <c r="I219" i="39"/>
  <c r="H216" i="39"/>
  <c r="I220" i="39"/>
  <c r="H224" i="39"/>
  <c r="H215" i="39"/>
  <c r="H223" i="39"/>
  <c r="E219" i="39"/>
  <c r="J217" i="39"/>
  <c r="E216" i="39"/>
  <c r="I222" i="39"/>
  <c r="K192" i="39"/>
  <c r="J196" i="39"/>
  <c r="K196" i="39"/>
  <c r="I152" i="39"/>
  <c r="G189" i="39"/>
  <c r="I150" i="39"/>
  <c r="G190" i="39" s="1"/>
  <c r="H190" i="39" s="1"/>
  <c r="F189" i="39"/>
  <c r="E288" i="39" s="1"/>
  <c r="U177" i="30" l="1"/>
  <c r="U183" i="30"/>
  <c r="AL106" i="39"/>
  <c r="B349" i="39"/>
  <c r="B3" i="15" s="1"/>
  <c r="B336" i="39"/>
  <c r="Q404" i="39"/>
  <c r="P7" i="18"/>
  <c r="P408" i="39"/>
  <c r="O7" i="22"/>
  <c r="AI336" i="39"/>
  <c r="C336" i="39"/>
  <c r="B362" i="39"/>
  <c r="B4" i="15" s="1"/>
  <c r="O409" i="39"/>
  <c r="N7" i="23"/>
  <c r="C362" i="39"/>
  <c r="C4" i="15" s="1"/>
  <c r="C349" i="39"/>
  <c r="C3" i="15" s="1"/>
  <c r="O405" i="39"/>
  <c r="N7" i="19"/>
  <c r="G191" i="39"/>
  <c r="G253" i="39" s="1"/>
  <c r="B388" i="39"/>
  <c r="B6" i="15" s="1"/>
  <c r="C388" i="39"/>
  <c r="C6" i="15" s="1"/>
  <c r="AI6" i="15"/>
  <c r="O403" i="39"/>
  <c r="N7" i="17"/>
  <c r="P417" i="39"/>
  <c r="O8" i="18"/>
  <c r="M433" i="39"/>
  <c r="N355" i="39"/>
  <c r="N3" i="21" s="1"/>
  <c r="U6" i="18"/>
  <c r="AI3" i="15"/>
  <c r="AI4" i="15"/>
  <c r="O402" i="39"/>
  <c r="N7" i="16"/>
  <c r="P354" i="39"/>
  <c r="O432" i="39"/>
  <c r="P345" i="39"/>
  <c r="O436" i="39"/>
  <c r="P3" i="18"/>
  <c r="T172" i="30"/>
  <c r="S209" i="30"/>
  <c r="H189" i="39"/>
  <c r="G288" i="39" s="1"/>
  <c r="F288" i="39"/>
  <c r="L220" i="39"/>
  <c r="L215" i="39"/>
  <c r="L216" i="39"/>
  <c r="L217" i="39"/>
  <c r="L218" i="39"/>
  <c r="L222" i="39"/>
  <c r="L219" i="39"/>
  <c r="L221" i="39"/>
  <c r="L223" i="39"/>
  <c r="L224" i="39"/>
  <c r="H192" i="39"/>
  <c r="G196" i="39"/>
  <c r="AN123" i="30"/>
  <c r="AM123" i="30"/>
  <c r="AL123" i="30"/>
  <c r="AL126" i="30" s="1"/>
  <c r="AI123" i="30"/>
  <c r="AI126" i="30" s="1"/>
  <c r="AD139" i="30"/>
  <c r="AD124" i="30"/>
  <c r="AD129" i="30"/>
  <c r="AD133" i="30"/>
  <c r="AD136" i="30"/>
  <c r="AD140" i="30"/>
  <c r="AD146" i="30"/>
  <c r="AD143" i="30"/>
  <c r="AD130" i="30"/>
  <c r="AD137" i="30"/>
  <c r="AD144" i="30"/>
  <c r="AD141" i="30"/>
  <c r="AD127" i="30"/>
  <c r="AD131" i="30"/>
  <c r="AD134" i="30"/>
  <c r="AD138" i="30"/>
  <c r="AD126" i="30"/>
  <c r="H191" i="39" l="1"/>
  <c r="H253" i="39" s="1"/>
  <c r="V177" i="30"/>
  <c r="V183" i="30"/>
  <c r="Q417" i="39"/>
  <c r="P8" i="18"/>
  <c r="P405" i="39"/>
  <c r="O7" i="19"/>
  <c r="Q408" i="39"/>
  <c r="P7" i="22"/>
  <c r="P403" i="39"/>
  <c r="O7" i="17"/>
  <c r="R404" i="39"/>
  <c r="Q7" i="18"/>
  <c r="P409" i="39"/>
  <c r="O7" i="23"/>
  <c r="N433" i="39"/>
  <c r="O355" i="39"/>
  <c r="O3" i="21" s="1"/>
  <c r="V6" i="18"/>
  <c r="B2" i="15"/>
  <c r="C2" i="15"/>
  <c r="AI2" i="15"/>
  <c r="P402" i="39"/>
  <c r="O7" i="16"/>
  <c r="U172" i="30"/>
  <c r="T209" i="30"/>
  <c r="Q3" i="18"/>
  <c r="Q345" i="39"/>
  <c r="P436" i="39"/>
  <c r="Q354" i="39"/>
  <c r="P432" i="39"/>
  <c r="G263" i="39"/>
  <c r="G264" i="39"/>
  <c r="G265" i="39"/>
  <c r="F215" i="39"/>
  <c r="F216" i="39"/>
  <c r="F218" i="39"/>
  <c r="F219" i="39"/>
  <c r="F221" i="39"/>
  <c r="F222" i="39"/>
  <c r="F220" i="39"/>
  <c r="F217" i="39"/>
  <c r="F224" i="39"/>
  <c r="F223" i="39"/>
  <c r="H196" i="39"/>
  <c r="AE139" i="30"/>
  <c r="AM129" i="30" s="1"/>
  <c r="AE137" i="30"/>
  <c r="AM126" i="30" s="1"/>
  <c r="AE140" i="30"/>
  <c r="AM128" i="30" s="1"/>
  <c r="AE138" i="30"/>
  <c r="AC145" i="30"/>
  <c r="AD145" i="30" s="1"/>
  <c r="AE144" i="30" s="1"/>
  <c r="AC128" i="30"/>
  <c r="AD128" i="30" s="1"/>
  <c r="AC135" i="30"/>
  <c r="AD135" i="30" s="1"/>
  <c r="AC132" i="30"/>
  <c r="AD132" i="30" s="1"/>
  <c r="AC123" i="30"/>
  <c r="AD123" i="30" s="1"/>
  <c r="AC125" i="30"/>
  <c r="AD125" i="30" s="1"/>
  <c r="AC142" i="30"/>
  <c r="AD142" i="30" s="1"/>
  <c r="W177" i="30" l="1"/>
  <c r="W183" i="30"/>
  <c r="Q405" i="39"/>
  <c r="P7" i="19"/>
  <c r="Q403" i="39"/>
  <c r="P7" i="17"/>
  <c r="Q409" i="39"/>
  <c r="P7" i="23"/>
  <c r="R408" i="39"/>
  <c r="Q7" i="22"/>
  <c r="S404" i="39"/>
  <c r="R7" i="18"/>
  <c r="R417" i="39"/>
  <c r="Q8" i="18"/>
  <c r="P355" i="39"/>
  <c r="P3" i="21" s="1"/>
  <c r="O433" i="39"/>
  <c r="W6" i="18"/>
  <c r="Q402" i="39"/>
  <c r="P7" i="16"/>
  <c r="R345" i="39"/>
  <c r="Q436" i="39"/>
  <c r="R354" i="39"/>
  <c r="Q432" i="39"/>
  <c r="R3" i="18"/>
  <c r="V172" i="30"/>
  <c r="U209" i="30"/>
  <c r="AE143" i="30"/>
  <c r="AN128" i="30" s="1"/>
  <c r="AE142" i="30"/>
  <c r="AN129" i="30" s="1"/>
  <c r="AE141" i="30"/>
  <c r="AN126" i="30" s="1"/>
  <c r="AE125" i="30"/>
  <c r="AE124" i="30"/>
  <c r="AI128" i="30" s="1"/>
  <c r="AE123" i="30"/>
  <c r="AE127" i="30"/>
  <c r="AE126" i="30"/>
  <c r="AJ126" i="30" s="1"/>
  <c r="AE129" i="30"/>
  <c r="AJ128" i="30" s="1"/>
  <c r="AE128" i="30"/>
  <c r="AJ129" i="30" s="1"/>
  <c r="AE133" i="30"/>
  <c r="AK128" i="30" s="1"/>
  <c r="AE132" i="30"/>
  <c r="AK129" i="30" s="1"/>
  <c r="AE131" i="30"/>
  <c r="AE130" i="30"/>
  <c r="AK126" i="30" s="1"/>
  <c r="AE135" i="30"/>
  <c r="AL129" i="30" s="1"/>
  <c r="AE134" i="30"/>
  <c r="AE136" i="30"/>
  <c r="AL128" i="30" s="1"/>
  <c r="AE146" i="30"/>
  <c r="AE145" i="30"/>
  <c r="J84" i="26"/>
  <c r="J65" i="33"/>
  <c r="J66" i="33"/>
  <c r="J67" i="33"/>
  <c r="R46" i="33"/>
  <c r="R45" i="33"/>
  <c r="R44" i="33"/>
  <c r="O86" i="33"/>
  <c r="O85" i="33"/>
  <c r="X177" i="30" l="1"/>
  <c r="P433" i="39"/>
  <c r="X183" i="30"/>
  <c r="R403" i="39"/>
  <c r="Q7" i="17"/>
  <c r="R405" i="39"/>
  <c r="Q7" i="19"/>
  <c r="S417" i="39"/>
  <c r="R8" i="18"/>
  <c r="S408" i="39"/>
  <c r="R7" i="22"/>
  <c r="T404" i="39"/>
  <c r="S7" i="18"/>
  <c r="R409" i="39"/>
  <c r="Q7" i="23"/>
  <c r="Q355" i="39"/>
  <c r="Q3" i="21" s="1"/>
  <c r="X6" i="18"/>
  <c r="R402" i="39"/>
  <c r="Q7" i="16"/>
  <c r="W172" i="30"/>
  <c r="V209" i="30"/>
  <c r="S3" i="18"/>
  <c r="S354" i="39"/>
  <c r="R432" i="39"/>
  <c r="S345" i="39"/>
  <c r="R436" i="39"/>
  <c r="AI129" i="30"/>
  <c r="G133" i="33"/>
  <c r="R64" i="33"/>
  <c r="R63" i="33"/>
  <c r="R58" i="33"/>
  <c r="R57" i="33"/>
  <c r="R56" i="33"/>
  <c r="R55" i="33"/>
  <c r="Y177" i="30" l="1"/>
  <c r="Y183" i="30"/>
  <c r="T408" i="39"/>
  <c r="S7" i="22"/>
  <c r="S409" i="39"/>
  <c r="R7" i="23"/>
  <c r="T417" i="39"/>
  <c r="S8" i="18"/>
  <c r="U404" i="39"/>
  <c r="T7" i="18"/>
  <c r="S405" i="39"/>
  <c r="R7" i="19"/>
  <c r="S403" i="39"/>
  <c r="R7" i="17"/>
  <c r="Q433" i="39"/>
  <c r="R355" i="39"/>
  <c r="R3" i="21" s="1"/>
  <c r="Y6" i="18"/>
  <c r="S402" i="39"/>
  <c r="R7" i="16"/>
  <c r="T354" i="39"/>
  <c r="S432" i="39"/>
  <c r="T345" i="39"/>
  <c r="S436" i="39"/>
  <c r="T3" i="18"/>
  <c r="X172" i="30"/>
  <c r="W209" i="30"/>
  <c r="C109" i="25"/>
  <c r="Z177" i="30" l="1"/>
  <c r="Z183" i="30"/>
  <c r="V404" i="39"/>
  <c r="U7" i="18"/>
  <c r="T403" i="39"/>
  <c r="S7" i="17"/>
  <c r="U417" i="39"/>
  <c r="T8" i="18"/>
  <c r="T409" i="39"/>
  <c r="S7" i="23"/>
  <c r="T405" i="39"/>
  <c r="S7" i="19"/>
  <c r="U408" i="39"/>
  <c r="T7" i="22"/>
  <c r="R433" i="39"/>
  <c r="S355" i="39"/>
  <c r="S3" i="21" s="1"/>
  <c r="Z6" i="18"/>
  <c r="T402" i="39"/>
  <c r="S7" i="16"/>
  <c r="Y172" i="30"/>
  <c r="X209" i="30"/>
  <c r="U3" i="18"/>
  <c r="U345" i="39"/>
  <c r="T436" i="39"/>
  <c r="U354" i="39"/>
  <c r="T432" i="39"/>
  <c r="C52" i="35"/>
  <c r="C53" i="35"/>
  <c r="C54" i="35"/>
  <c r="C55" i="35"/>
  <c r="C56" i="35"/>
  <c r="C57" i="35"/>
  <c r="C58" i="35"/>
  <c r="C59" i="35"/>
  <c r="C60" i="35"/>
  <c r="C61" i="35"/>
  <c r="C62" i="35"/>
  <c r="C63" i="35"/>
  <c r="C64" i="35"/>
  <c r="C65" i="35"/>
  <c r="C66" i="35"/>
  <c r="C67" i="35"/>
  <c r="C68" i="35"/>
  <c r="C69" i="35"/>
  <c r="C70" i="35"/>
  <c r="C71" i="35"/>
  <c r="C51" i="35"/>
  <c r="C50" i="35"/>
  <c r="F25" i="35"/>
  <c r="F26" i="35"/>
  <c r="F27" i="35"/>
  <c r="F28" i="35"/>
  <c r="F29" i="35"/>
  <c r="F30" i="35"/>
  <c r="F31" i="35"/>
  <c r="F32" i="35"/>
  <c r="F33" i="35"/>
  <c r="F34" i="35"/>
  <c r="F35" i="35"/>
  <c r="F36" i="35"/>
  <c r="F37" i="35"/>
  <c r="F38" i="35"/>
  <c r="F24" i="35"/>
  <c r="C113" i="25"/>
  <c r="C106" i="25"/>
  <c r="E25" i="35"/>
  <c r="E26" i="35"/>
  <c r="E27" i="35"/>
  <c r="E28" i="35"/>
  <c r="E29" i="35"/>
  <c r="E30" i="35"/>
  <c r="E31" i="35"/>
  <c r="E32" i="35"/>
  <c r="E33" i="35"/>
  <c r="E34" i="35"/>
  <c r="E35" i="35"/>
  <c r="E36" i="35"/>
  <c r="E37" i="35"/>
  <c r="E38" i="35"/>
  <c r="E24" i="35"/>
  <c r="S131" i="30"/>
  <c r="AB5" i="33" s="1"/>
  <c r="AA177" i="30" l="1"/>
  <c r="AA183" i="30"/>
  <c r="V408" i="39"/>
  <c r="U7" i="22"/>
  <c r="V417" i="39"/>
  <c r="U8" i="18"/>
  <c r="U405" i="39"/>
  <c r="T7" i="19"/>
  <c r="U403" i="39"/>
  <c r="T7" i="17"/>
  <c r="U409" i="39"/>
  <c r="T7" i="23"/>
  <c r="W404" i="39"/>
  <c r="V7" i="18"/>
  <c r="T355" i="39"/>
  <c r="T3" i="21" s="1"/>
  <c r="S433" i="39"/>
  <c r="AA6" i="18"/>
  <c r="U402" i="39"/>
  <c r="T7" i="16"/>
  <c r="V354" i="39"/>
  <c r="U432" i="39"/>
  <c r="V345" i="39"/>
  <c r="U436" i="39"/>
  <c r="V3" i="18"/>
  <c r="Z172" i="30"/>
  <c r="Y209" i="30"/>
  <c r="AB7" i="33"/>
  <c r="T128" i="30"/>
  <c r="U128" i="30" s="1"/>
  <c r="T127" i="30"/>
  <c r="U127" i="30" s="1"/>
  <c r="T75" i="30"/>
  <c r="U75" i="30" s="1"/>
  <c r="T76" i="30"/>
  <c r="U76" i="30" s="1"/>
  <c r="T77" i="30"/>
  <c r="U77" i="30" s="1"/>
  <c r="T78" i="30"/>
  <c r="U78" i="30" s="1"/>
  <c r="T79" i="30"/>
  <c r="U79" i="30" s="1"/>
  <c r="T80" i="30"/>
  <c r="U80" i="30" s="1"/>
  <c r="T81" i="30"/>
  <c r="U81" i="30" s="1"/>
  <c r="T82" i="30"/>
  <c r="U82" i="30" s="1"/>
  <c r="T83" i="30"/>
  <c r="U83" i="30" s="1"/>
  <c r="T84" i="30"/>
  <c r="U84" i="30" s="1"/>
  <c r="T85" i="30"/>
  <c r="U85" i="30" s="1"/>
  <c r="T86" i="30"/>
  <c r="U86" i="30" s="1"/>
  <c r="T87" i="30"/>
  <c r="U87" i="30" s="1"/>
  <c r="T88" i="30"/>
  <c r="U88" i="30" s="1"/>
  <c r="T89" i="30"/>
  <c r="U89" i="30" s="1"/>
  <c r="T90" i="30"/>
  <c r="U90" i="30" s="1"/>
  <c r="T91" i="30"/>
  <c r="U91" i="30" s="1"/>
  <c r="T92" i="30"/>
  <c r="T93" i="30"/>
  <c r="U93" i="30" s="1"/>
  <c r="T94" i="30"/>
  <c r="U94" i="30" s="1"/>
  <c r="T95" i="30"/>
  <c r="U95" i="30" s="1"/>
  <c r="T96" i="30"/>
  <c r="U96" i="30" s="1"/>
  <c r="T97" i="30"/>
  <c r="U97" i="30" s="1"/>
  <c r="T98" i="30"/>
  <c r="U98" i="30" s="1"/>
  <c r="T99" i="30"/>
  <c r="U99" i="30" s="1"/>
  <c r="T100" i="30"/>
  <c r="U100" i="30" s="1"/>
  <c r="T101" i="30"/>
  <c r="U101" i="30" s="1"/>
  <c r="T102" i="30"/>
  <c r="U102" i="30" s="1"/>
  <c r="T103" i="30"/>
  <c r="U103" i="30" s="1"/>
  <c r="T104" i="30"/>
  <c r="U104" i="30" s="1"/>
  <c r="T105" i="30"/>
  <c r="U105" i="30" s="1"/>
  <c r="T106" i="30"/>
  <c r="U106" i="30" s="1"/>
  <c r="T107" i="30"/>
  <c r="U107" i="30" s="1"/>
  <c r="T108" i="30"/>
  <c r="U108" i="30" s="1"/>
  <c r="T109" i="30"/>
  <c r="U109" i="30" s="1"/>
  <c r="T110" i="30"/>
  <c r="U110" i="30" s="1"/>
  <c r="T111" i="30"/>
  <c r="U111" i="30" s="1"/>
  <c r="T112" i="30"/>
  <c r="U112" i="30" s="1"/>
  <c r="T113" i="30"/>
  <c r="U113" i="30" s="1"/>
  <c r="T114" i="30"/>
  <c r="U114" i="30" s="1"/>
  <c r="T115" i="30"/>
  <c r="U115" i="30" s="1"/>
  <c r="T116" i="30"/>
  <c r="U116" i="30" s="1"/>
  <c r="T117" i="30"/>
  <c r="U117" i="30" s="1"/>
  <c r="T118" i="30"/>
  <c r="U118" i="30" s="1"/>
  <c r="T119" i="30"/>
  <c r="U119" i="30" s="1"/>
  <c r="T120" i="30"/>
  <c r="U120" i="30" s="1"/>
  <c r="T121" i="30"/>
  <c r="U121" i="30" s="1"/>
  <c r="T122" i="30"/>
  <c r="U122" i="30" s="1"/>
  <c r="T123" i="30"/>
  <c r="U123" i="30" s="1"/>
  <c r="T124" i="30"/>
  <c r="U124" i="30" s="1"/>
  <c r="T125" i="30"/>
  <c r="U125" i="30" s="1"/>
  <c r="T126" i="30"/>
  <c r="U126" i="30" s="1"/>
  <c r="T129" i="30"/>
  <c r="U129" i="30" s="1"/>
  <c r="T130" i="30"/>
  <c r="U130" i="30" s="1"/>
  <c r="T131" i="30"/>
  <c r="U131" i="30" s="1"/>
  <c r="T74" i="30"/>
  <c r="U74" i="30"/>
  <c r="U92" i="30"/>
  <c r="AB177" i="30" l="1"/>
  <c r="AB183" i="30"/>
  <c r="V403" i="39"/>
  <c r="U7" i="17"/>
  <c r="V405" i="39"/>
  <c r="U7" i="19"/>
  <c r="W417" i="39"/>
  <c r="V8" i="18"/>
  <c r="X404" i="39"/>
  <c r="W7" i="18"/>
  <c r="V409" i="39"/>
  <c r="U7" i="23"/>
  <c r="W408" i="39"/>
  <c r="V7" i="22"/>
  <c r="T433" i="39"/>
  <c r="U355" i="39"/>
  <c r="U3" i="21" s="1"/>
  <c r="AB6" i="18"/>
  <c r="V402" i="39"/>
  <c r="U7" i="16"/>
  <c r="AA172" i="30"/>
  <c r="Z209" i="30"/>
  <c r="W3" i="18"/>
  <c r="W345" i="39"/>
  <c r="V436" i="39"/>
  <c r="W354" i="39"/>
  <c r="V432" i="39"/>
  <c r="C105" i="25"/>
  <c r="AC177" i="30" l="1"/>
  <c r="AC183" i="30"/>
  <c r="X408" i="39"/>
  <c r="W7" i="22"/>
  <c r="X417" i="39"/>
  <c r="W8" i="18"/>
  <c r="W409" i="39"/>
  <c r="V7" i="23"/>
  <c r="W405" i="39"/>
  <c r="V7" i="19"/>
  <c r="Y404" i="39"/>
  <c r="X7" i="18"/>
  <c r="W403" i="39"/>
  <c r="V7" i="17"/>
  <c r="V355" i="39"/>
  <c r="V3" i="21" s="1"/>
  <c r="U433" i="39"/>
  <c r="AC6" i="18"/>
  <c r="W402" i="39"/>
  <c r="V7" i="16"/>
  <c r="X354" i="39"/>
  <c r="W432" i="39"/>
  <c r="X345" i="39"/>
  <c r="W436" i="39"/>
  <c r="X3" i="18"/>
  <c r="AB172" i="30"/>
  <c r="AA209" i="30"/>
  <c r="W32" i="33"/>
  <c r="AA7" i="33" s="1"/>
  <c r="B137" i="28"/>
  <c r="B136" i="28"/>
  <c r="B135" i="28"/>
  <c r="B134" i="28"/>
  <c r="D145" i="28"/>
  <c r="B115" i="28"/>
  <c r="E130" i="28" s="1"/>
  <c r="C130" i="28"/>
  <c r="D87" i="28"/>
  <c r="B114" i="28"/>
  <c r="D130" i="28" s="1"/>
  <c r="H49" i="28"/>
  <c r="H48" i="28"/>
  <c r="H47" i="28"/>
  <c r="H46" i="28"/>
  <c r="H45" i="28"/>
  <c r="H44" i="28"/>
  <c r="H43" i="28"/>
  <c r="H42" i="28"/>
  <c r="H41" i="28"/>
  <c r="H40" i="28"/>
  <c r="H39" i="28"/>
  <c r="H38" i="28"/>
  <c r="H37" i="28"/>
  <c r="H36" i="28"/>
  <c r="I39" i="28"/>
  <c r="AD177" i="30" l="1"/>
  <c r="AD183" i="30"/>
  <c r="X409" i="39"/>
  <c r="W7" i="23"/>
  <c r="X405" i="39"/>
  <c r="W7" i="19"/>
  <c r="Z404" i="39"/>
  <c r="Y7" i="18"/>
  <c r="Y417" i="39"/>
  <c r="X8" i="18"/>
  <c r="X403" i="39"/>
  <c r="W7" i="17"/>
  <c r="Y408" i="39"/>
  <c r="X7" i="22"/>
  <c r="V433" i="39"/>
  <c r="W355" i="39"/>
  <c r="W3" i="21" s="1"/>
  <c r="AD6" i="18"/>
  <c r="X402" i="39"/>
  <c r="W7" i="16"/>
  <c r="AC172" i="30"/>
  <c r="AB209" i="30"/>
  <c r="Y3" i="18"/>
  <c r="Y345" i="39"/>
  <c r="X436" i="39"/>
  <c r="Y354" i="39"/>
  <c r="X432" i="39"/>
  <c r="D142" i="28"/>
  <c r="D141" i="28"/>
  <c r="D144" i="28"/>
  <c r="D143" i="28"/>
  <c r="C143" i="28" s="1"/>
  <c r="G53" i="28"/>
  <c r="E144" i="28"/>
  <c r="E141" i="28"/>
  <c r="E143" i="28"/>
  <c r="E142" i="28"/>
  <c r="AE177" i="30" l="1"/>
  <c r="AE183" i="30"/>
  <c r="AA404" i="39"/>
  <c r="Z7" i="18"/>
  <c r="Y403" i="39"/>
  <c r="X7" i="17"/>
  <c r="Y405" i="39"/>
  <c r="X7" i="19"/>
  <c r="Y409" i="39"/>
  <c r="X7" i="23"/>
  <c r="Z417" i="39"/>
  <c r="Y8" i="18"/>
  <c r="W433" i="39"/>
  <c r="Z408" i="39"/>
  <c r="Y7" i="22"/>
  <c r="X355" i="39"/>
  <c r="X3" i="21" s="1"/>
  <c r="AE6" i="18"/>
  <c r="Y402" i="39"/>
  <c r="X7" i="16"/>
  <c r="Z354" i="39"/>
  <c r="Y432" i="39"/>
  <c r="Z345" i="39"/>
  <c r="Y436" i="39"/>
  <c r="Z3" i="18"/>
  <c r="AD172" i="30"/>
  <c r="AC209" i="30"/>
  <c r="C151" i="28"/>
  <c r="C150" i="28"/>
  <c r="C152" i="28"/>
  <c r="C149" i="28"/>
  <c r="D151" i="28"/>
  <c r="D150" i="28"/>
  <c r="D152" i="28"/>
  <c r="D149" i="28"/>
  <c r="E156" i="28"/>
  <c r="C144" i="28"/>
  <c r="D157" i="28"/>
  <c r="D156" i="28"/>
  <c r="E150" i="28"/>
  <c r="E152" i="28"/>
  <c r="E151" i="28"/>
  <c r="E149" i="28"/>
  <c r="C153" i="28"/>
  <c r="AF177" i="30" l="1"/>
  <c r="AF183" i="30"/>
  <c r="Z405" i="39"/>
  <c r="Y7" i="19"/>
  <c r="Z403" i="39"/>
  <c r="Y7" i="17"/>
  <c r="AA417" i="39"/>
  <c r="Z8" i="18"/>
  <c r="AA408" i="39"/>
  <c r="Z7" i="22"/>
  <c r="Z409" i="39"/>
  <c r="Y7" i="23"/>
  <c r="AB404" i="39"/>
  <c r="AA7" i="18"/>
  <c r="B165" i="28"/>
  <c r="D153" i="28"/>
  <c r="X433" i="39"/>
  <c r="Y355" i="39"/>
  <c r="Y3" i="21" s="1"/>
  <c r="AF6" i="18"/>
  <c r="Z402" i="39"/>
  <c r="Y7" i="16"/>
  <c r="AE172" i="30"/>
  <c r="AD209" i="30"/>
  <c r="AA3" i="18"/>
  <c r="AA345" i="39"/>
  <c r="Z436" i="39"/>
  <c r="AA354" i="39"/>
  <c r="Z432" i="39"/>
  <c r="E153" i="28"/>
  <c r="C156" i="28"/>
  <c r="C157" i="28"/>
  <c r="E157" i="28"/>
  <c r="AG177" i="30" l="1"/>
  <c r="AG183" i="30"/>
  <c r="AC404" i="39"/>
  <c r="AB7" i="18"/>
  <c r="AA403" i="39"/>
  <c r="Z7" i="17"/>
  <c r="AA405" i="39"/>
  <c r="Z7" i="19"/>
  <c r="AA409" i="39"/>
  <c r="Z7" i="23"/>
  <c r="AB408" i="39"/>
  <c r="AA7" i="22"/>
  <c r="AB417" i="39"/>
  <c r="AA8" i="18"/>
  <c r="Y433" i="39"/>
  <c r="Z355" i="39"/>
  <c r="Z3" i="21" s="1"/>
  <c r="AG6" i="18"/>
  <c r="AA402" i="39"/>
  <c r="Z7" i="16"/>
  <c r="AB354" i="39"/>
  <c r="AA432" i="39"/>
  <c r="AB345" i="39"/>
  <c r="AA436" i="39"/>
  <c r="AB3" i="18"/>
  <c r="AF172" i="30"/>
  <c r="AE209" i="30"/>
  <c r="AH177" i="30" l="1"/>
  <c r="AH183" i="30"/>
  <c r="Z433" i="39"/>
  <c r="AB405" i="39"/>
  <c r="AA7" i="19"/>
  <c r="AB403" i="39"/>
  <c r="AA7" i="17"/>
  <c r="AC417" i="39"/>
  <c r="AB8" i="18"/>
  <c r="AC408" i="39"/>
  <c r="AB7" i="22"/>
  <c r="AB409" i="39"/>
  <c r="AA7" i="23"/>
  <c r="AD404" i="39"/>
  <c r="AC7" i="18"/>
  <c r="AA355" i="39"/>
  <c r="AA3" i="21" s="1"/>
  <c r="AI6" i="18"/>
  <c r="AH6" i="18"/>
  <c r="AB402" i="39"/>
  <c r="AA7" i="16"/>
  <c r="AG172" i="30"/>
  <c r="AF209" i="30"/>
  <c r="AC3" i="18"/>
  <c r="AC345" i="39"/>
  <c r="AB436" i="39"/>
  <c r="AC354" i="39"/>
  <c r="AB432" i="39"/>
  <c r="W13" i="33"/>
  <c r="AA6" i="33" s="1"/>
  <c r="AB6" i="33" s="1"/>
  <c r="O26" i="33"/>
  <c r="N13" i="33"/>
  <c r="AA3" i="33"/>
  <c r="AB3" i="33" s="1"/>
  <c r="AI177" i="30" l="1"/>
  <c r="AI183" i="30"/>
  <c r="AA433" i="39"/>
  <c r="AE404" i="39"/>
  <c r="AD7" i="18"/>
  <c r="AC403" i="39"/>
  <c r="AB7" i="17"/>
  <c r="AC409" i="39"/>
  <c r="AB7" i="23"/>
  <c r="AD408" i="39"/>
  <c r="AC7" i="22"/>
  <c r="AC405" i="39"/>
  <c r="AB7" i="19"/>
  <c r="AD417" i="39"/>
  <c r="AC8" i="18"/>
  <c r="AB355" i="39"/>
  <c r="AB3" i="21" s="1"/>
  <c r="AC402" i="39"/>
  <c r="AB7" i="16"/>
  <c r="AD354" i="39"/>
  <c r="AC432" i="39"/>
  <c r="AD345" i="39"/>
  <c r="AC436" i="39"/>
  <c r="AD3" i="18"/>
  <c r="AH172" i="30"/>
  <c r="AG209" i="30"/>
  <c r="AA5" i="33"/>
  <c r="AA4" i="33"/>
  <c r="AB4" i="33" s="1"/>
  <c r="AD409" i="39" l="1"/>
  <c r="AC7" i="23"/>
  <c r="AE417" i="39"/>
  <c r="AD8" i="18"/>
  <c r="AD403" i="39"/>
  <c r="AC7" i="17"/>
  <c r="AD405" i="39"/>
  <c r="AC7" i="19"/>
  <c r="AE408" i="39"/>
  <c r="AD7" i="22"/>
  <c r="AF404" i="39"/>
  <c r="AE7" i="18"/>
  <c r="AB433" i="39"/>
  <c r="AC355" i="39"/>
  <c r="AC3" i="21" s="1"/>
  <c r="AD402" i="39"/>
  <c r="AC7" i="16"/>
  <c r="AI172" i="30"/>
  <c r="AH209" i="30"/>
  <c r="AE3" i="18"/>
  <c r="AE345" i="39"/>
  <c r="AD436" i="39"/>
  <c r="AE354" i="39"/>
  <c r="AD432" i="39"/>
  <c r="AC433" i="39" l="1"/>
  <c r="AG404" i="39"/>
  <c r="AF7" i="18"/>
  <c r="AF408" i="39"/>
  <c r="AE7" i="22"/>
  <c r="AE405" i="39"/>
  <c r="AD7" i="19"/>
  <c r="AF417" i="39"/>
  <c r="AE8" i="18"/>
  <c r="AE403" i="39"/>
  <c r="AD7" i="17"/>
  <c r="AE409" i="39"/>
  <c r="AD7" i="23"/>
  <c r="AD355" i="39"/>
  <c r="AD3" i="21" s="1"/>
  <c r="AE402" i="39"/>
  <c r="AD7" i="16"/>
  <c r="AF345" i="39"/>
  <c r="AE436" i="39"/>
  <c r="AF354" i="39"/>
  <c r="AE432" i="39"/>
  <c r="AF3" i="18"/>
  <c r="AJ172" i="30"/>
  <c r="AI209" i="30"/>
  <c r="AD433" i="39" l="1"/>
  <c r="AF403" i="39"/>
  <c r="AE7" i="17"/>
  <c r="AF409" i="39"/>
  <c r="AE7" i="23"/>
  <c r="AG408" i="39"/>
  <c r="AF7" i="22"/>
  <c r="AG417" i="39"/>
  <c r="AF8" i="18"/>
  <c r="AF405" i="39"/>
  <c r="AE7" i="19"/>
  <c r="AH404" i="39"/>
  <c r="AG7" i="18"/>
  <c r="AE355" i="39"/>
  <c r="AE3" i="21" s="1"/>
  <c r="AF402" i="39"/>
  <c r="AE7" i="16"/>
  <c r="AJ209" i="30"/>
  <c r="AG3" i="18"/>
  <c r="AG354" i="39"/>
  <c r="AF432" i="39"/>
  <c r="AG345" i="39"/>
  <c r="AF436" i="39"/>
  <c r="D124" i="14"/>
  <c r="E124" i="14"/>
  <c r="F124" i="14"/>
  <c r="G124" i="14"/>
  <c r="H124" i="14"/>
  <c r="I124" i="14"/>
  <c r="J124" i="14"/>
  <c r="K124" i="14"/>
  <c r="L124" i="14"/>
  <c r="M124" i="14"/>
  <c r="N124" i="14"/>
  <c r="O124" i="14"/>
  <c r="P124" i="14"/>
  <c r="Q124" i="14"/>
  <c r="R124" i="14"/>
  <c r="S124" i="14"/>
  <c r="T124" i="14"/>
  <c r="U124" i="14"/>
  <c r="V124" i="14"/>
  <c r="W124" i="14"/>
  <c r="X124" i="14"/>
  <c r="Y124" i="14"/>
  <c r="Z124" i="14"/>
  <c r="AA124" i="14"/>
  <c r="AB124" i="14"/>
  <c r="AC124" i="14"/>
  <c r="AD124" i="14"/>
  <c r="AE124" i="14"/>
  <c r="AF124" i="14"/>
  <c r="AG124" i="14"/>
  <c r="AH124" i="14"/>
  <c r="AI124" i="14"/>
  <c r="AJ124" i="14"/>
  <c r="C124" i="14"/>
  <c r="D125" i="14"/>
  <c r="E125" i="14"/>
  <c r="F125" i="14"/>
  <c r="G125" i="14"/>
  <c r="H125" i="14"/>
  <c r="I125" i="14"/>
  <c r="J125" i="14"/>
  <c r="K125" i="14"/>
  <c r="L125" i="14"/>
  <c r="M125" i="14"/>
  <c r="N125" i="14"/>
  <c r="O125" i="14"/>
  <c r="P125" i="14"/>
  <c r="Q125" i="14"/>
  <c r="R125" i="14"/>
  <c r="S125" i="14"/>
  <c r="T125" i="14"/>
  <c r="U125" i="14"/>
  <c r="V125" i="14"/>
  <c r="W125" i="14"/>
  <c r="X125" i="14"/>
  <c r="Y125" i="14"/>
  <c r="Z125" i="14"/>
  <c r="AA125" i="14"/>
  <c r="AB125" i="14"/>
  <c r="AC125" i="14"/>
  <c r="AD125" i="14"/>
  <c r="AE125" i="14"/>
  <c r="AF125" i="14"/>
  <c r="AG125" i="14"/>
  <c r="AH125" i="14"/>
  <c r="AI125" i="14"/>
  <c r="AJ125" i="14"/>
  <c r="C125" i="14"/>
  <c r="D123" i="14"/>
  <c r="E123" i="14"/>
  <c r="F123" i="14"/>
  <c r="G123" i="14"/>
  <c r="H123" i="14"/>
  <c r="I123" i="14"/>
  <c r="J123" i="14"/>
  <c r="K123" i="14"/>
  <c r="L123" i="14"/>
  <c r="M123"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C123" i="14"/>
  <c r="AG405" i="39" l="1"/>
  <c r="AF7" i="19"/>
  <c r="AG409" i="39"/>
  <c r="AF7" i="23"/>
  <c r="AH417" i="39"/>
  <c r="AG8" i="18"/>
  <c r="AG403" i="39"/>
  <c r="AF7" i="17"/>
  <c r="AH408" i="39"/>
  <c r="AG7" i="22"/>
  <c r="AI404" i="39"/>
  <c r="AI7" i="18" s="1"/>
  <c r="AH7" i="18"/>
  <c r="AE433" i="39"/>
  <c r="AF355" i="39"/>
  <c r="AF3" i="21" s="1"/>
  <c r="AG402" i="39"/>
  <c r="AF7" i="16"/>
  <c r="AH3" i="18"/>
  <c r="AH345" i="39"/>
  <c r="AG436" i="39"/>
  <c r="AH354" i="39"/>
  <c r="AG432" i="39"/>
  <c r="B103" i="14"/>
  <c r="B129" i="14" s="1"/>
  <c r="B149" i="14" s="1"/>
  <c r="B102" i="14"/>
  <c r="B128" i="14" s="1"/>
  <c r="B101" i="14"/>
  <c r="B127" i="14" s="1"/>
  <c r="B148" i="14" s="1"/>
  <c r="B100" i="14"/>
  <c r="B126" i="14" s="1"/>
  <c r="B150" i="14" s="1"/>
  <c r="B99" i="14"/>
  <c r="B125" i="14" s="1"/>
  <c r="B98" i="14"/>
  <c r="B124" i="14" s="1"/>
  <c r="B97" i="14"/>
  <c r="B123" i="14" s="1"/>
  <c r="B96" i="14"/>
  <c r="B122" i="14" s="1"/>
  <c r="B95" i="14"/>
  <c r="B121" i="14" s="1"/>
  <c r="B87" i="14"/>
  <c r="B86" i="14"/>
  <c r="B85" i="14"/>
  <c r="B84" i="14"/>
  <c r="B83" i="14"/>
  <c r="B68" i="14"/>
  <c r="B67" i="14"/>
  <c r="B66" i="14"/>
  <c r="B65" i="14"/>
  <c r="B61" i="14"/>
  <c r="B60" i="14"/>
  <c r="B52" i="14"/>
  <c r="B51" i="14"/>
  <c r="B50" i="14"/>
  <c r="B49" i="14"/>
  <c r="B48" i="14"/>
  <c r="B36" i="14"/>
  <c r="B35" i="14"/>
  <c r="B34" i="14"/>
  <c r="B33" i="14"/>
  <c r="B7" i="14"/>
  <c r="B6" i="14"/>
  <c r="B5" i="14"/>
  <c r="B4" i="14"/>
  <c r="B3" i="14"/>
  <c r="G139" i="14"/>
  <c r="J139" i="14"/>
  <c r="R139" i="14"/>
  <c r="AC139" i="14"/>
  <c r="AE139" i="14"/>
  <c r="AH139" i="14"/>
  <c r="D109" i="25"/>
  <c r="E109" i="25"/>
  <c r="F109" i="25"/>
  <c r="F139" i="14" s="1"/>
  <c r="G109" i="25"/>
  <c r="H109" i="25"/>
  <c r="H139" i="14" s="1"/>
  <c r="I109" i="25"/>
  <c r="I139" i="14" s="1"/>
  <c r="J109" i="25"/>
  <c r="K109" i="25"/>
  <c r="K139" i="14" s="1"/>
  <c r="L109" i="25"/>
  <c r="L139" i="14" s="1"/>
  <c r="M109" i="25"/>
  <c r="N109" i="25"/>
  <c r="N139" i="14" s="1"/>
  <c r="O109" i="25"/>
  <c r="P109" i="25"/>
  <c r="P139" i="14" s="1"/>
  <c r="Q109" i="25"/>
  <c r="Q139" i="14" s="1"/>
  <c r="R109" i="25"/>
  <c r="S109" i="25"/>
  <c r="S139" i="14" s="1"/>
  <c r="T109" i="25"/>
  <c r="T139" i="14" s="1"/>
  <c r="U109" i="25"/>
  <c r="V109" i="25"/>
  <c r="V139" i="14" s="1"/>
  <c r="W109" i="25"/>
  <c r="X109" i="25"/>
  <c r="X139" i="14" s="1"/>
  <c r="Y109" i="25"/>
  <c r="Y139" i="14" s="1"/>
  <c r="Z109" i="25"/>
  <c r="Z139" i="14" s="1"/>
  <c r="AA109" i="25"/>
  <c r="AA139" i="14" s="1"/>
  <c r="AB109" i="25"/>
  <c r="AB139" i="14" s="1"/>
  <c r="AC109" i="25"/>
  <c r="AD109" i="25"/>
  <c r="AD139" i="14" s="1"/>
  <c r="AE109" i="25"/>
  <c r="AF109" i="25"/>
  <c r="AF139" i="14" s="1"/>
  <c r="AG109" i="25"/>
  <c r="AG139" i="14" s="1"/>
  <c r="AH109" i="25"/>
  <c r="AI109" i="25"/>
  <c r="AI139" i="14" s="1"/>
  <c r="AJ109" i="25"/>
  <c r="AJ139" i="14" s="1"/>
  <c r="C139" i="14"/>
  <c r="Q120" i="14"/>
  <c r="T120" i="14"/>
  <c r="D121" i="14"/>
  <c r="E121" i="14"/>
  <c r="F121" i="14"/>
  <c r="G121" i="14"/>
  <c r="H121"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D122" i="14"/>
  <c r="E122" i="14"/>
  <c r="F122" i="14"/>
  <c r="G122" i="14"/>
  <c r="H122"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D126" i="14"/>
  <c r="E126" i="14"/>
  <c r="F126" i="14"/>
  <c r="G126" i="14"/>
  <c r="H126" i="14"/>
  <c r="I126" i="14"/>
  <c r="J126" i="14"/>
  <c r="K126" i="14"/>
  <c r="L126" i="14"/>
  <c r="M126" i="14"/>
  <c r="N126" i="14"/>
  <c r="O126" i="14"/>
  <c r="P126" i="14"/>
  <c r="Q126" i="14"/>
  <c r="R126" i="14"/>
  <c r="S126" i="14"/>
  <c r="T126" i="14"/>
  <c r="U126" i="14"/>
  <c r="V126" i="14"/>
  <c r="W126" i="14"/>
  <c r="X126" i="14"/>
  <c r="Y126" i="14"/>
  <c r="Z126" i="14"/>
  <c r="AA126" i="14"/>
  <c r="AB126" i="14"/>
  <c r="AC126" i="14"/>
  <c r="AD126" i="14"/>
  <c r="AE126" i="14"/>
  <c r="AF126" i="14"/>
  <c r="AG126" i="14"/>
  <c r="AH126" i="14"/>
  <c r="AI126" i="14"/>
  <c r="AJ126" i="14"/>
  <c r="D127" i="14"/>
  <c r="E127" i="14"/>
  <c r="F127" i="14"/>
  <c r="G127" i="14"/>
  <c r="H127" i="14"/>
  <c r="I127" i="14"/>
  <c r="J127" i="14"/>
  <c r="K127" i="14"/>
  <c r="L127" i="14"/>
  <c r="M127" i="14"/>
  <c r="N127" i="14"/>
  <c r="O127" i="14"/>
  <c r="P127" i="14"/>
  <c r="Q127" i="14"/>
  <c r="R127" i="14"/>
  <c r="S127" i="14"/>
  <c r="T127" i="14"/>
  <c r="U127" i="14"/>
  <c r="V127" i="14"/>
  <c r="W127" i="14"/>
  <c r="X127" i="14"/>
  <c r="Y127" i="14"/>
  <c r="Z127" i="14"/>
  <c r="AA127" i="14"/>
  <c r="AB127" i="14"/>
  <c r="AC127" i="14"/>
  <c r="AD127" i="14"/>
  <c r="AE127" i="14"/>
  <c r="AF127" i="14"/>
  <c r="AG127" i="14"/>
  <c r="AH127" i="14"/>
  <c r="AI127" i="14"/>
  <c r="AJ127" i="14"/>
  <c r="D128" i="14"/>
  <c r="E128" i="14"/>
  <c r="F128" i="14"/>
  <c r="G128" i="14"/>
  <c r="H128" i="14"/>
  <c r="I128" i="14"/>
  <c r="J128" i="14"/>
  <c r="K128" i="14"/>
  <c r="L128" i="14"/>
  <c r="M128" i="14"/>
  <c r="N128" i="14"/>
  <c r="O128" i="14"/>
  <c r="P128" i="14"/>
  <c r="Q128" i="14"/>
  <c r="R128" i="14"/>
  <c r="S128" i="14"/>
  <c r="T128" i="14"/>
  <c r="U128" i="14"/>
  <c r="V128" i="14"/>
  <c r="W128" i="14"/>
  <c r="X128" i="14"/>
  <c r="Y128" i="14"/>
  <c r="Z128" i="14"/>
  <c r="AA128" i="14"/>
  <c r="AB128" i="14"/>
  <c r="AC128" i="14"/>
  <c r="AD128" i="14"/>
  <c r="AE128" i="14"/>
  <c r="AF128" i="14"/>
  <c r="AG128" i="14"/>
  <c r="AH128" i="14"/>
  <c r="AI128" i="14"/>
  <c r="AJ128" i="14"/>
  <c r="D129" i="14"/>
  <c r="E129" i="14"/>
  <c r="F129" i="14"/>
  <c r="G129" i="14"/>
  <c r="H129" i="14"/>
  <c r="I129" i="14"/>
  <c r="J129" i="14"/>
  <c r="K129" i="14"/>
  <c r="L129" i="14"/>
  <c r="M129"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D132" i="14"/>
  <c r="E132" i="14"/>
  <c r="F132" i="14"/>
  <c r="G132" i="14"/>
  <c r="H132" i="14"/>
  <c r="I132" i="14"/>
  <c r="J132" i="14"/>
  <c r="K132" i="14"/>
  <c r="L132" i="14"/>
  <c r="M132" i="14"/>
  <c r="N132" i="14"/>
  <c r="O132" i="14"/>
  <c r="P132" i="14"/>
  <c r="Q132" i="14"/>
  <c r="R132" i="14"/>
  <c r="S132" i="14"/>
  <c r="T132" i="14"/>
  <c r="U132" i="14"/>
  <c r="V132" i="14"/>
  <c r="W132" i="14"/>
  <c r="X132" i="14"/>
  <c r="Y132" i="14"/>
  <c r="Z132" i="14"/>
  <c r="AA132" i="14"/>
  <c r="AB132" i="14"/>
  <c r="AC132" i="14"/>
  <c r="AD132" i="14"/>
  <c r="AE132" i="14"/>
  <c r="AF132" i="14"/>
  <c r="AG132" i="14"/>
  <c r="AH132" i="14"/>
  <c r="AI132" i="14"/>
  <c r="AJ132" i="14"/>
  <c r="D133" i="14"/>
  <c r="E133" i="14"/>
  <c r="F133" i="14"/>
  <c r="G133" i="14"/>
  <c r="H133" i="14"/>
  <c r="I133" i="14"/>
  <c r="J133" i="14"/>
  <c r="K133" i="14"/>
  <c r="L133" i="14"/>
  <c r="M133" i="14"/>
  <c r="N133" i="14"/>
  <c r="O133" i="14"/>
  <c r="P133" i="14"/>
  <c r="Q133" i="14"/>
  <c r="R133" i="14"/>
  <c r="S133" i="14"/>
  <c r="T133" i="14"/>
  <c r="U133" i="14"/>
  <c r="V133" i="14"/>
  <c r="W133" i="14"/>
  <c r="X133" i="14"/>
  <c r="Y133" i="14"/>
  <c r="Z133" i="14"/>
  <c r="AA133" i="14"/>
  <c r="AB133" i="14"/>
  <c r="AC133" i="14"/>
  <c r="AD133" i="14"/>
  <c r="AE133" i="14"/>
  <c r="AF133" i="14"/>
  <c r="AG133" i="14"/>
  <c r="AH133" i="14"/>
  <c r="AI133" i="14"/>
  <c r="AJ133" i="14"/>
  <c r="D134" i="14"/>
  <c r="E134" i="14"/>
  <c r="F134" i="14"/>
  <c r="G134" i="14"/>
  <c r="H134" i="14"/>
  <c r="I134" i="14"/>
  <c r="J134" i="14"/>
  <c r="K134" i="14"/>
  <c r="L134" i="14"/>
  <c r="M134" i="14"/>
  <c r="N134" i="14"/>
  <c r="O134" i="14"/>
  <c r="P134" i="14"/>
  <c r="Q134" i="14"/>
  <c r="R134" i="14"/>
  <c r="S134" i="14"/>
  <c r="T134" i="14"/>
  <c r="U134" i="14"/>
  <c r="V134" i="14"/>
  <c r="W134" i="14"/>
  <c r="X134" i="14"/>
  <c r="Y134" i="14"/>
  <c r="Z134" i="14"/>
  <c r="AA134" i="14"/>
  <c r="AB134" i="14"/>
  <c r="AC134" i="14"/>
  <c r="AD134" i="14"/>
  <c r="AE134" i="14"/>
  <c r="AF134" i="14"/>
  <c r="AG134" i="14"/>
  <c r="AH134" i="14"/>
  <c r="AI134" i="14"/>
  <c r="AJ134" i="14"/>
  <c r="D136" i="14"/>
  <c r="E136" i="14"/>
  <c r="F136" i="14"/>
  <c r="G136" i="14"/>
  <c r="H136" i="14"/>
  <c r="I136" i="14"/>
  <c r="J136" i="14"/>
  <c r="K136" i="14"/>
  <c r="L136" i="14"/>
  <c r="M136" i="14"/>
  <c r="N136" i="14"/>
  <c r="O136" i="14"/>
  <c r="P136" i="14"/>
  <c r="Q136" i="14"/>
  <c r="R136" i="14"/>
  <c r="S136" i="14"/>
  <c r="T136" i="14"/>
  <c r="U136" i="14"/>
  <c r="V136" i="14"/>
  <c r="W136" i="14"/>
  <c r="X136" i="14"/>
  <c r="Y136" i="14"/>
  <c r="Z136" i="14"/>
  <c r="AA136" i="14"/>
  <c r="AB136" i="14"/>
  <c r="AC136" i="14"/>
  <c r="AD136" i="14"/>
  <c r="AE136" i="14"/>
  <c r="AF136" i="14"/>
  <c r="AG136" i="14"/>
  <c r="AH136" i="14"/>
  <c r="AI136" i="14"/>
  <c r="AJ136" i="14"/>
  <c r="K137" i="14"/>
  <c r="S137" i="14"/>
  <c r="X137" i="14"/>
  <c r="AA137" i="14"/>
  <c r="AI137" i="14"/>
  <c r="D140" i="14"/>
  <c r="E140" i="14"/>
  <c r="F140" i="14"/>
  <c r="G140" i="14"/>
  <c r="H140" i="14"/>
  <c r="I140" i="14"/>
  <c r="J140" i="14"/>
  <c r="K140" i="14"/>
  <c r="L140" i="14"/>
  <c r="M140" i="14"/>
  <c r="N140" i="14"/>
  <c r="O140" i="14"/>
  <c r="P140" i="14"/>
  <c r="Q140" i="14"/>
  <c r="R140" i="14"/>
  <c r="S140" i="14"/>
  <c r="T140" i="14"/>
  <c r="U140" i="14"/>
  <c r="V140" i="14"/>
  <c r="W140" i="14"/>
  <c r="X140" i="14"/>
  <c r="Y140" i="14"/>
  <c r="Z140" i="14"/>
  <c r="AA140" i="14"/>
  <c r="AB140" i="14"/>
  <c r="AC140" i="14"/>
  <c r="AD140" i="14"/>
  <c r="AE140" i="14"/>
  <c r="AF140" i="14"/>
  <c r="AG140" i="14"/>
  <c r="AH140" i="14"/>
  <c r="AI140" i="14"/>
  <c r="AJ140" i="14"/>
  <c r="K141" i="14"/>
  <c r="N141" i="14"/>
  <c r="S141" i="14"/>
  <c r="AA141" i="14"/>
  <c r="D143" i="14"/>
  <c r="E143" i="14"/>
  <c r="F143" i="14"/>
  <c r="G143" i="14"/>
  <c r="H143" i="14"/>
  <c r="I143" i="14"/>
  <c r="J143" i="14"/>
  <c r="K143" i="14"/>
  <c r="L143" i="14"/>
  <c r="M143" i="14"/>
  <c r="N143" i="14"/>
  <c r="O143" i="14"/>
  <c r="P143" i="14"/>
  <c r="Q143" i="14"/>
  <c r="R143" i="14"/>
  <c r="S143" i="14"/>
  <c r="T143" i="14"/>
  <c r="U143" i="14"/>
  <c r="V143" i="14"/>
  <c r="W143" i="14"/>
  <c r="X143" i="14"/>
  <c r="Y143" i="14"/>
  <c r="Z143" i="14"/>
  <c r="AA143" i="14"/>
  <c r="AB143" i="14"/>
  <c r="AC143" i="14"/>
  <c r="AD143" i="14"/>
  <c r="AE143" i="14"/>
  <c r="AF143" i="14"/>
  <c r="AG143" i="14"/>
  <c r="AH143" i="14"/>
  <c r="AI143" i="14"/>
  <c r="AJ143" i="14"/>
  <c r="C122" i="14"/>
  <c r="C126" i="14"/>
  <c r="C127" i="14"/>
  <c r="C128" i="14"/>
  <c r="C129" i="14"/>
  <c r="C132" i="14"/>
  <c r="C133" i="14"/>
  <c r="C134" i="14"/>
  <c r="C136" i="14"/>
  <c r="C140" i="14"/>
  <c r="C143" i="14"/>
  <c r="C121" i="14"/>
  <c r="D105" i="25"/>
  <c r="D120" i="14" s="1"/>
  <c r="E105" i="25"/>
  <c r="E120" i="14" s="1"/>
  <c r="F105" i="25"/>
  <c r="G105" i="25"/>
  <c r="G120" i="14" s="1"/>
  <c r="H105" i="25"/>
  <c r="H120" i="14" s="1"/>
  <c r="I105" i="25"/>
  <c r="J105" i="25"/>
  <c r="J120" i="14" s="1"/>
  <c r="K105" i="25"/>
  <c r="K120" i="14" s="1"/>
  <c r="L105" i="25"/>
  <c r="L120" i="14" s="1"/>
  <c r="M105" i="25"/>
  <c r="M120" i="14" s="1"/>
  <c r="N105" i="25"/>
  <c r="O105" i="25"/>
  <c r="P105" i="25"/>
  <c r="P120" i="14" s="1"/>
  <c r="Q105" i="25"/>
  <c r="R105" i="25"/>
  <c r="R120" i="14" s="1"/>
  <c r="S105" i="25"/>
  <c r="S120" i="14" s="1"/>
  <c r="T105" i="25"/>
  <c r="U105" i="25"/>
  <c r="U120" i="14" s="1"/>
  <c r="V105" i="25"/>
  <c r="W105" i="25"/>
  <c r="W120" i="14" s="1"/>
  <c r="X105" i="25"/>
  <c r="X120" i="14" s="1"/>
  <c r="Y105" i="25"/>
  <c r="Z105" i="25"/>
  <c r="Z120" i="14" s="1"/>
  <c r="AA105" i="25"/>
  <c r="AA120" i="14" s="1"/>
  <c r="AB105" i="25"/>
  <c r="AB120" i="14" s="1"/>
  <c r="AC105" i="25"/>
  <c r="AC120" i="14" s="1"/>
  <c r="AD105" i="25"/>
  <c r="AE105" i="25"/>
  <c r="AF105" i="25"/>
  <c r="AF120" i="14" s="1"/>
  <c r="AG105" i="25"/>
  <c r="AH105" i="25"/>
  <c r="AH120" i="14" s="1"/>
  <c r="AI105" i="25"/>
  <c r="AI120" i="14" s="1"/>
  <c r="AJ105" i="25"/>
  <c r="D106" i="25"/>
  <c r="E106" i="25"/>
  <c r="F106" i="25"/>
  <c r="G106" i="25"/>
  <c r="H106" i="25"/>
  <c r="I106" i="25"/>
  <c r="J106" i="25"/>
  <c r="K106" i="25"/>
  <c r="L106" i="25"/>
  <c r="M106" i="25"/>
  <c r="N106" i="25"/>
  <c r="O106" i="25"/>
  <c r="P106" i="25"/>
  <c r="Q106" i="25"/>
  <c r="R106" i="25"/>
  <c r="S106" i="25"/>
  <c r="T106" i="25"/>
  <c r="U106" i="25"/>
  <c r="V106" i="25"/>
  <c r="W106" i="25"/>
  <c r="X106" i="25"/>
  <c r="Y106" i="25"/>
  <c r="Z106" i="25"/>
  <c r="AA106" i="25"/>
  <c r="AB106" i="25"/>
  <c r="AC106" i="25"/>
  <c r="AD106" i="25"/>
  <c r="AE106" i="25"/>
  <c r="AF106" i="25"/>
  <c r="AG106" i="25"/>
  <c r="AH106" i="25"/>
  <c r="AI106" i="25"/>
  <c r="AJ106" i="25"/>
  <c r="D107" i="25"/>
  <c r="E107" i="25"/>
  <c r="F107" i="25"/>
  <c r="G107" i="25"/>
  <c r="H107" i="25"/>
  <c r="I107" i="25"/>
  <c r="J107" i="25"/>
  <c r="K107" i="25"/>
  <c r="L107" i="25"/>
  <c r="M107" i="25"/>
  <c r="N107" i="25"/>
  <c r="O107" i="25"/>
  <c r="P107" i="25"/>
  <c r="Q107" i="25"/>
  <c r="R107" i="25"/>
  <c r="S107" i="25"/>
  <c r="T107" i="25"/>
  <c r="U107" i="25"/>
  <c r="V107" i="25"/>
  <c r="W107" i="25"/>
  <c r="X107" i="25"/>
  <c r="Y107" i="25"/>
  <c r="Z107" i="25"/>
  <c r="AA107" i="25"/>
  <c r="AB107" i="25"/>
  <c r="AC107" i="25"/>
  <c r="AD107" i="25"/>
  <c r="AE107" i="25"/>
  <c r="AF107" i="25"/>
  <c r="AG107" i="25"/>
  <c r="AH107" i="25"/>
  <c r="AI107" i="25"/>
  <c r="AJ107" i="25"/>
  <c r="D108" i="25"/>
  <c r="D141" i="14" s="1"/>
  <c r="E108" i="25"/>
  <c r="E141" i="14" s="1"/>
  <c r="F108" i="25"/>
  <c r="F141" i="14" s="1"/>
  <c r="G108" i="25"/>
  <c r="H108" i="25"/>
  <c r="I108" i="25"/>
  <c r="I141" i="14" s="1"/>
  <c r="J108" i="25"/>
  <c r="J141" i="14" s="1"/>
  <c r="K108" i="25"/>
  <c r="L108" i="25"/>
  <c r="L141" i="14" s="1"/>
  <c r="M108" i="25"/>
  <c r="M141" i="14" s="1"/>
  <c r="N108" i="25"/>
  <c r="O108" i="25"/>
  <c r="P108" i="25"/>
  <c r="Q108" i="25"/>
  <c r="Q141" i="14" s="1"/>
  <c r="R108" i="25"/>
  <c r="R141" i="14" s="1"/>
  <c r="S108" i="25"/>
  <c r="T108" i="25"/>
  <c r="T141" i="14" s="1"/>
  <c r="U108" i="25"/>
  <c r="U141" i="14" s="1"/>
  <c r="V108" i="25"/>
  <c r="V141" i="14" s="1"/>
  <c r="W108" i="25"/>
  <c r="X108" i="25"/>
  <c r="Y108" i="25"/>
  <c r="Y141" i="14" s="1"/>
  <c r="Z108" i="25"/>
  <c r="Z141" i="14" s="1"/>
  <c r="AA108" i="25"/>
  <c r="AB108" i="25"/>
  <c r="AB141" i="14" s="1"/>
  <c r="AC108" i="25"/>
  <c r="AC141" i="14" s="1"/>
  <c r="AD108" i="25"/>
  <c r="AD141" i="14" s="1"/>
  <c r="AE108" i="25"/>
  <c r="AF108" i="25"/>
  <c r="AF141" i="14" s="1"/>
  <c r="AG108" i="25"/>
  <c r="AG141" i="14" s="1"/>
  <c r="AH108" i="25"/>
  <c r="AH141" i="14" s="1"/>
  <c r="AI108" i="25"/>
  <c r="AI141" i="14" s="1"/>
  <c r="AJ108" i="25"/>
  <c r="AJ141" i="14" s="1"/>
  <c r="C108" i="25"/>
  <c r="C107" i="25"/>
  <c r="C120" i="14"/>
  <c r="AH403" i="39" l="1"/>
  <c r="AG7" i="17"/>
  <c r="AF433" i="39"/>
  <c r="AI417" i="39"/>
  <c r="AI8" i="18" s="1"/>
  <c r="AH8" i="18"/>
  <c r="AH409" i="39"/>
  <c r="AG7" i="23"/>
  <c r="AI408" i="39"/>
  <c r="AI7" i="22" s="1"/>
  <c r="AH7" i="22"/>
  <c r="AH405" i="39"/>
  <c r="AG7" i="19"/>
  <c r="AG355" i="39"/>
  <c r="AG3" i="21" s="1"/>
  <c r="AH402" i="39"/>
  <c r="AG7" i="16"/>
  <c r="AI354" i="39"/>
  <c r="AI432" i="39" s="1"/>
  <c r="AH432" i="39"/>
  <c r="AI345" i="39"/>
  <c r="AI436" i="39" s="1"/>
  <c r="AH436" i="39"/>
  <c r="U137" i="14"/>
  <c r="U138" i="14" s="1"/>
  <c r="AG130" i="14"/>
  <c r="AJ120" i="14"/>
  <c r="O120" i="14"/>
  <c r="E139" i="14"/>
  <c r="P137" i="14"/>
  <c r="AG120" i="14"/>
  <c r="W139" i="14"/>
  <c r="M137" i="14"/>
  <c r="M138" i="14" s="1"/>
  <c r="AE120" i="14"/>
  <c r="I120" i="14"/>
  <c r="U139" i="14"/>
  <c r="AF137" i="14"/>
  <c r="AC137" i="14"/>
  <c r="AC138" i="14" s="1"/>
  <c r="H137" i="14"/>
  <c r="H138" i="14" s="1"/>
  <c r="Y120" i="14"/>
  <c r="O139" i="14"/>
  <c r="E137" i="14"/>
  <c r="E138" i="14" s="1"/>
  <c r="AD130" i="14"/>
  <c r="V130" i="14"/>
  <c r="F130" i="14"/>
  <c r="M139" i="14"/>
  <c r="Q138" i="14"/>
  <c r="C131" i="14"/>
  <c r="AG131" i="14"/>
  <c r="Y131" i="14"/>
  <c r="Q131" i="14"/>
  <c r="I131" i="14"/>
  <c r="I135" i="14" s="1"/>
  <c r="I142" i="14" s="1"/>
  <c r="I144" i="14" s="1"/>
  <c r="AH137" i="14"/>
  <c r="AH138" i="14" s="1"/>
  <c r="Z137" i="14"/>
  <c r="R137" i="14"/>
  <c r="J137" i="14"/>
  <c r="AD120" i="14"/>
  <c r="V120" i="14"/>
  <c r="N120" i="14"/>
  <c r="F120" i="14"/>
  <c r="D139" i="14"/>
  <c r="Z131" i="14"/>
  <c r="Z135" i="14" s="1"/>
  <c r="AF131" i="14"/>
  <c r="AF135" i="14" s="1"/>
  <c r="X131" i="14"/>
  <c r="X135" i="14" s="1"/>
  <c r="P131" i="14"/>
  <c r="H131" i="14"/>
  <c r="AG137" i="14"/>
  <c r="AG138" i="14" s="1"/>
  <c r="Y137" i="14"/>
  <c r="Y138" i="14" s="1"/>
  <c r="Q137" i="14"/>
  <c r="I137" i="14"/>
  <c r="I138" i="14" s="1"/>
  <c r="W131" i="14"/>
  <c r="AD131" i="14"/>
  <c r="AD135" i="14" s="1"/>
  <c r="V131" i="14"/>
  <c r="N131" i="14"/>
  <c r="F131" i="14"/>
  <c r="AE137" i="14"/>
  <c r="AE138" i="14" s="1"/>
  <c r="W137" i="14"/>
  <c r="W138" i="14" s="1"/>
  <c r="O137" i="14"/>
  <c r="O138" i="14" s="1"/>
  <c r="G137" i="14"/>
  <c r="Y130" i="14"/>
  <c r="AE131" i="14"/>
  <c r="O131" i="14"/>
  <c r="G131" i="14"/>
  <c r="G135" i="14" s="1"/>
  <c r="N130" i="14"/>
  <c r="H130" i="14"/>
  <c r="AC131" i="14"/>
  <c r="U131" i="14"/>
  <c r="U135" i="14" s="1"/>
  <c r="M131" i="14"/>
  <c r="M135" i="14" s="1"/>
  <c r="E131" i="14"/>
  <c r="E135" i="14" s="1"/>
  <c r="AD137" i="14"/>
  <c r="AD138" i="14" s="1"/>
  <c r="V137" i="14"/>
  <c r="V138" i="14" s="1"/>
  <c r="N137" i="14"/>
  <c r="N138" i="14" s="1"/>
  <c r="F137" i="14"/>
  <c r="AE130" i="14"/>
  <c r="AH131" i="14"/>
  <c r="J131" i="14"/>
  <c r="P141" i="14"/>
  <c r="R131" i="14"/>
  <c r="R135" i="14" s="1"/>
  <c r="AJ131" i="14"/>
  <c r="AB131" i="14"/>
  <c r="AB135" i="14" s="1"/>
  <c r="T131" i="14"/>
  <c r="L131" i="14"/>
  <c r="L135" i="14" s="1"/>
  <c r="D131" i="14"/>
  <c r="X141" i="14"/>
  <c r="H141" i="14"/>
  <c r="W130" i="14"/>
  <c r="AI131" i="14"/>
  <c r="AI135" i="14" s="1"/>
  <c r="AA131" i="14"/>
  <c r="AA135" i="14" s="1"/>
  <c r="S131" i="14"/>
  <c r="S135" i="14" s="1"/>
  <c r="K131" i="14"/>
  <c r="K135" i="14" s="1"/>
  <c r="C137" i="14"/>
  <c r="AE141" i="14"/>
  <c r="W141" i="14"/>
  <c r="O141" i="14"/>
  <c r="G141" i="14"/>
  <c r="AJ137" i="14"/>
  <c r="AB137" i="14"/>
  <c r="AB138" i="14" s="1"/>
  <c r="T137" i="14"/>
  <c r="T138" i="14" s="1"/>
  <c r="L137" i="14"/>
  <c r="L138" i="14" s="1"/>
  <c r="D137" i="14"/>
  <c r="D138" i="14" s="1"/>
  <c r="AI130" i="14"/>
  <c r="AA130" i="14"/>
  <c r="S130" i="14"/>
  <c r="K130" i="14"/>
  <c r="AJ130" i="14"/>
  <c r="AB130" i="14"/>
  <c r="T130" i="14"/>
  <c r="L130" i="14"/>
  <c r="D130" i="14"/>
  <c r="AC130" i="14"/>
  <c r="U130" i="14"/>
  <c r="M130" i="14"/>
  <c r="E130" i="14"/>
  <c r="X138" i="14"/>
  <c r="P138" i="14"/>
  <c r="AG135" i="14"/>
  <c r="Y135" i="14"/>
  <c r="Q135" i="14"/>
  <c r="Q142" i="14" s="1"/>
  <c r="Q144" i="14" s="1"/>
  <c r="AH135" i="14"/>
  <c r="J135" i="14"/>
  <c r="Q130" i="14"/>
  <c r="I130" i="14"/>
  <c r="Z138" i="14"/>
  <c r="R138" i="14"/>
  <c r="J138" i="14"/>
  <c r="AJ135" i="14"/>
  <c r="T135" i="14"/>
  <c r="D135" i="14"/>
  <c r="C130" i="14"/>
  <c r="G138" i="14"/>
  <c r="F138" i="14"/>
  <c r="AJ138" i="14"/>
  <c r="C135" i="14"/>
  <c r="AI138" i="14"/>
  <c r="AA138" i="14"/>
  <c r="S138" i="14"/>
  <c r="K138" i="14"/>
  <c r="AC135" i="14"/>
  <c r="V135" i="14"/>
  <c r="N135" i="14"/>
  <c r="F135" i="14"/>
  <c r="AE135" i="14"/>
  <c r="W135" i="14"/>
  <c r="O135" i="14"/>
  <c r="P135" i="14"/>
  <c r="H135" i="14"/>
  <c r="C138" i="14"/>
  <c r="AF138" i="14"/>
  <c r="G130" i="14"/>
  <c r="X130" i="14"/>
  <c r="P130" i="14"/>
  <c r="AH130" i="14"/>
  <c r="J130" i="14"/>
  <c r="J142" i="14" s="1"/>
  <c r="J144" i="14" s="1"/>
  <c r="O130" i="14"/>
  <c r="AF130" i="14"/>
  <c r="Z130" i="14"/>
  <c r="R130" i="14"/>
  <c r="AI405" i="39" l="1"/>
  <c r="AI7" i="19" s="1"/>
  <c r="AH7" i="19"/>
  <c r="AI409" i="39"/>
  <c r="AI7" i="23" s="1"/>
  <c r="AH7" i="23"/>
  <c r="AI403" i="39"/>
  <c r="AI7" i="17" s="1"/>
  <c r="AH7" i="17"/>
  <c r="AG433" i="39"/>
  <c r="AH355" i="39"/>
  <c r="AH3" i="21" s="1"/>
  <c r="AI3" i="18"/>
  <c r="AI402" i="39"/>
  <c r="AH7" i="16"/>
  <c r="D142" i="14"/>
  <c r="D144" i="14" s="1"/>
  <c r="Y142" i="14"/>
  <c r="Y144" i="14" s="1"/>
  <c r="T142" i="14"/>
  <c r="T144" i="14" s="1"/>
  <c r="AG142" i="14"/>
  <c r="AG144" i="14" s="1"/>
  <c r="L142" i="14"/>
  <c r="L144" i="14" s="1"/>
  <c r="AB142" i="14"/>
  <c r="AB144" i="14" s="1"/>
  <c r="AH142" i="14"/>
  <c r="AH144" i="14" s="1"/>
  <c r="R142" i="14"/>
  <c r="R144" i="14" s="1"/>
  <c r="Z142" i="14"/>
  <c r="Z144" i="14" s="1"/>
  <c r="AJ142" i="14"/>
  <c r="AJ144" i="14" s="1"/>
  <c r="C142" i="14"/>
  <c r="C144" i="14" s="1"/>
  <c r="AD142" i="14"/>
  <c r="AD144" i="14" s="1"/>
  <c r="AI142" i="14"/>
  <c r="AI144" i="14" s="1"/>
  <c r="O142" i="14"/>
  <c r="O144" i="14" s="1"/>
  <c r="M142" i="14"/>
  <c r="M144" i="14" s="1"/>
  <c r="W142" i="14"/>
  <c r="W144" i="14" s="1"/>
  <c r="U142" i="14"/>
  <c r="U144" i="14" s="1"/>
  <c r="X142" i="14"/>
  <c r="X144" i="14" s="1"/>
  <c r="V142" i="14"/>
  <c r="V144" i="14" s="1"/>
  <c r="AA142" i="14"/>
  <c r="AA144" i="14" s="1"/>
  <c r="AE142" i="14"/>
  <c r="AE144" i="14" s="1"/>
  <c r="AC142" i="14"/>
  <c r="AC144" i="14" s="1"/>
  <c r="G142" i="14"/>
  <c r="G144" i="14" s="1"/>
  <c r="E142" i="14"/>
  <c r="E144" i="14" s="1"/>
  <c r="AF142" i="14"/>
  <c r="AF144" i="14" s="1"/>
  <c r="H142" i="14"/>
  <c r="H144" i="14" s="1"/>
  <c r="F142" i="14"/>
  <c r="F144" i="14" s="1"/>
  <c r="K142" i="14"/>
  <c r="K144" i="14" s="1"/>
  <c r="P142" i="14"/>
  <c r="P144" i="14" s="1"/>
  <c r="N142" i="14"/>
  <c r="N144" i="14" s="1"/>
  <c r="S142" i="14"/>
  <c r="S144" i="14" s="1"/>
  <c r="AH433" i="39" l="1"/>
  <c r="AI355" i="39"/>
  <c r="AI3" i="21" s="1"/>
  <c r="AI7" i="16"/>
  <c r="C184" i="14"/>
  <c r="AI433" i="39" l="1"/>
  <c r="D192" i="14"/>
  <c r="E192" i="14"/>
  <c r="F192" i="14"/>
  <c r="G192" i="14"/>
  <c r="H192" i="14"/>
  <c r="I192" i="14"/>
  <c r="J192" i="14"/>
  <c r="K192" i="14"/>
  <c r="L192" i="14"/>
  <c r="M192" i="14"/>
  <c r="N192" i="14"/>
  <c r="O192" i="14"/>
  <c r="P192" i="14"/>
  <c r="Q192" i="14"/>
  <c r="R192" i="14"/>
  <c r="S192" i="14"/>
  <c r="T192" i="14"/>
  <c r="U192" i="14"/>
  <c r="V192" i="14"/>
  <c r="W192" i="14"/>
  <c r="X192" i="14"/>
  <c r="Y192" i="14"/>
  <c r="Z192" i="14"/>
  <c r="AA192" i="14"/>
  <c r="AB192" i="14"/>
  <c r="AC192" i="14"/>
  <c r="AD192" i="14"/>
  <c r="AE192" i="14"/>
  <c r="AF192" i="14"/>
  <c r="AG192" i="14"/>
  <c r="AH192" i="14"/>
  <c r="AI192" i="14"/>
  <c r="AJ192" i="14"/>
  <c r="C192" i="14"/>
  <c r="D188" i="14"/>
  <c r="E188" i="14"/>
  <c r="F188" i="14"/>
  <c r="G188" i="14"/>
  <c r="H188" i="14"/>
  <c r="I188" i="14"/>
  <c r="J188" i="14"/>
  <c r="K188" i="14"/>
  <c r="L188" i="14"/>
  <c r="M188" i="14"/>
  <c r="N188" i="14"/>
  <c r="O188" i="14"/>
  <c r="P188" i="14"/>
  <c r="Q188" i="14"/>
  <c r="R188" i="14"/>
  <c r="S188" i="14"/>
  <c r="T188" i="14"/>
  <c r="U188" i="14"/>
  <c r="V188" i="14"/>
  <c r="W188" i="14"/>
  <c r="X188" i="14"/>
  <c r="Y188" i="14"/>
  <c r="Z188" i="14"/>
  <c r="AA188" i="14"/>
  <c r="AB188" i="14"/>
  <c r="AC188" i="14"/>
  <c r="AD188" i="14"/>
  <c r="AE188" i="14"/>
  <c r="AF188" i="14"/>
  <c r="AG188" i="14"/>
  <c r="AH188" i="14"/>
  <c r="AI188" i="14"/>
  <c r="AJ188" i="14"/>
  <c r="C188" i="14"/>
  <c r="D184" i="14"/>
  <c r="E184" i="14"/>
  <c r="F184" i="14"/>
  <c r="G184" i="14"/>
  <c r="H184" i="14"/>
  <c r="I184" i="14"/>
  <c r="J184" i="14"/>
  <c r="K184" i="14"/>
  <c r="L184" i="14"/>
  <c r="M184" i="14"/>
  <c r="N184" i="14"/>
  <c r="O184" i="14"/>
  <c r="P184" i="14"/>
  <c r="Q184" i="14"/>
  <c r="R184" i="14"/>
  <c r="S184" i="14"/>
  <c r="T184" i="14"/>
  <c r="U184" i="14"/>
  <c r="V184" i="14"/>
  <c r="W184" i="14"/>
  <c r="X184" i="14"/>
  <c r="Y184" i="14"/>
  <c r="Z184" i="14"/>
  <c r="AA184" i="14"/>
  <c r="AB184" i="14"/>
  <c r="AC184" i="14"/>
  <c r="AD184" i="14"/>
  <c r="AE184" i="14"/>
  <c r="AF184" i="14"/>
  <c r="AG184" i="14"/>
  <c r="AH184" i="14"/>
  <c r="AI184" i="14"/>
  <c r="AJ184" i="14"/>
  <c r="D180" i="14"/>
  <c r="E180" i="14"/>
  <c r="F180" i="14"/>
  <c r="G180" i="14"/>
  <c r="H180" i="14"/>
  <c r="I180" i="14"/>
  <c r="J180" i="14"/>
  <c r="K180" i="14"/>
  <c r="L180" i="14"/>
  <c r="M180" i="14"/>
  <c r="N180" i="14"/>
  <c r="O180" i="14"/>
  <c r="P180" i="14"/>
  <c r="Q180" i="14"/>
  <c r="R180" i="14"/>
  <c r="S180" i="14"/>
  <c r="T180" i="14"/>
  <c r="U180" i="14"/>
  <c r="V180" i="14"/>
  <c r="W180" i="14"/>
  <c r="X180" i="14"/>
  <c r="Y180" i="14"/>
  <c r="Z180" i="14"/>
  <c r="AA180" i="14"/>
  <c r="AB180" i="14"/>
  <c r="AC180" i="14"/>
  <c r="AD180" i="14"/>
  <c r="AE180" i="14"/>
  <c r="AF180" i="14"/>
  <c r="AG180" i="14"/>
  <c r="AH180" i="14"/>
  <c r="AI180" i="14"/>
  <c r="AJ180" i="14"/>
  <c r="C180" i="14"/>
  <c r="D176" i="14"/>
  <c r="E176" i="14"/>
  <c r="F176" i="14"/>
  <c r="G176" i="14"/>
  <c r="H176" i="14"/>
  <c r="I176" i="14"/>
  <c r="J176" i="14"/>
  <c r="K176" i="14"/>
  <c r="L176" i="14"/>
  <c r="M176" i="14"/>
  <c r="N176" i="14"/>
  <c r="O176" i="14"/>
  <c r="P176" i="14"/>
  <c r="Q176" i="14"/>
  <c r="R176" i="14"/>
  <c r="S176" i="14"/>
  <c r="T176" i="14"/>
  <c r="U176" i="14"/>
  <c r="V176" i="14"/>
  <c r="W176" i="14"/>
  <c r="X176" i="14"/>
  <c r="Y176" i="14"/>
  <c r="Z176" i="14"/>
  <c r="AA176" i="14"/>
  <c r="AB176" i="14"/>
  <c r="AC176" i="14"/>
  <c r="AD176" i="14"/>
  <c r="AE176" i="14"/>
  <c r="AF176" i="14"/>
  <c r="AG176" i="14"/>
  <c r="AH176" i="14"/>
  <c r="AI176" i="14"/>
  <c r="AJ176" i="14"/>
  <c r="C176"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C172"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C168" i="14"/>
  <c r="D164" i="14"/>
  <c r="E164" i="14"/>
  <c r="F164" i="14"/>
  <c r="G164" i="14"/>
  <c r="H164" i="14"/>
  <c r="I164" i="14"/>
  <c r="J164" i="14"/>
  <c r="K164" i="14"/>
  <c r="L164" i="14"/>
  <c r="M164" i="14"/>
  <c r="N164" i="14"/>
  <c r="O164" i="14"/>
  <c r="P164" i="14"/>
  <c r="Q164" i="14"/>
  <c r="R164" i="14"/>
  <c r="S164" i="14"/>
  <c r="T164" i="14"/>
  <c r="U164" i="14"/>
  <c r="V164" i="14"/>
  <c r="W164" i="14"/>
  <c r="X164" i="14"/>
  <c r="Y164" i="14"/>
  <c r="Z164" i="14"/>
  <c r="AA164" i="14"/>
  <c r="AB164" i="14"/>
  <c r="AC164" i="14"/>
  <c r="AD164" i="14"/>
  <c r="AE164" i="14"/>
  <c r="AF164" i="14"/>
  <c r="AG164" i="14"/>
  <c r="AH164" i="14"/>
  <c r="AI164" i="14"/>
  <c r="AJ164" i="14"/>
  <c r="C164" i="14"/>
  <c r="AB81" i="14" l="1"/>
  <c r="AC81" i="14"/>
  <c r="AD81" i="14"/>
  <c r="AE81" i="14"/>
  <c r="AF81" i="14"/>
  <c r="AG81" i="14"/>
  <c r="AH81" i="14"/>
  <c r="AI81" i="14"/>
  <c r="AJ81" i="14"/>
  <c r="C81" i="14" l="1"/>
  <c r="D81" i="14"/>
  <c r="E81" i="14"/>
  <c r="F81" i="14"/>
  <c r="G81" i="14"/>
  <c r="H81" i="14"/>
  <c r="I81" i="14"/>
  <c r="J81" i="14"/>
  <c r="K81" i="14"/>
  <c r="L81" i="14"/>
  <c r="M81" i="14"/>
  <c r="N81" i="14"/>
  <c r="O81" i="14"/>
  <c r="P81" i="14"/>
  <c r="Q81" i="14"/>
  <c r="R81" i="14"/>
  <c r="S81" i="14"/>
  <c r="T81" i="14"/>
  <c r="U81" i="14"/>
  <c r="V81" i="14"/>
  <c r="W81" i="14"/>
  <c r="X81" i="14"/>
  <c r="Y81" i="14"/>
  <c r="Z81" i="14"/>
  <c r="AA81" i="14"/>
  <c r="AF106" i="39" l="1"/>
  <c r="AD106" i="39" s="1"/>
  <c r="G119" i="39" l="1"/>
  <c r="F137" i="39" s="1"/>
  <c r="H137" i="39" s="1"/>
  <c r="F119" i="39"/>
  <c r="F135" i="39" s="1"/>
  <c r="H135" i="39" s="1"/>
  <c r="H119" i="39"/>
  <c r="F157" i="39" s="1"/>
  <c r="H157" i="39" s="1"/>
  <c r="I158" i="39" s="1"/>
  <c r="E119" i="39"/>
  <c r="F144" i="39" s="1"/>
  <c r="H144" i="39" s="1"/>
  <c r="B119" i="39"/>
  <c r="F154" i="39" s="1"/>
  <c r="H154" i="39" s="1"/>
  <c r="D119" i="39"/>
  <c r="F147" i="39" s="1"/>
  <c r="H147" i="39" s="1"/>
  <c r="C119" i="39"/>
  <c r="F140" i="39" s="1"/>
  <c r="H140" i="39" s="1"/>
  <c r="P155" i="39" l="1"/>
  <c r="I147" i="39"/>
  <c r="I148" i="39"/>
  <c r="I146" i="39"/>
  <c r="F190" i="39" s="1"/>
  <c r="I135" i="39"/>
  <c r="I136" i="39"/>
  <c r="I157" i="39"/>
  <c r="I154" i="39"/>
  <c r="I153" i="39"/>
  <c r="I189" i="39" s="1"/>
  <c r="H288" i="39" s="1"/>
  <c r="I155" i="39"/>
  <c r="I143" i="39"/>
  <c r="E190" i="39" s="1"/>
  <c r="I142" i="39"/>
  <c r="I145" i="39"/>
  <c r="I144" i="39"/>
  <c r="I156" i="39"/>
  <c r="Q144" i="39"/>
  <c r="I137" i="39"/>
  <c r="D219" i="39"/>
  <c r="D454" i="39" l="1"/>
  <c r="D460" i="39"/>
  <c r="D461" i="39"/>
  <c r="D456" i="39"/>
  <c r="D463" i="39"/>
  <c r="D457" i="39"/>
  <c r="D455" i="39"/>
  <c r="D458" i="39"/>
  <c r="D459" i="39"/>
  <c r="D462" i="39"/>
  <c r="B344" i="39"/>
  <c r="G458" i="39"/>
  <c r="G454" i="39"/>
  <c r="G459" i="39"/>
  <c r="G462" i="39"/>
  <c r="G461" i="39"/>
  <c r="G463" i="39"/>
  <c r="G455" i="39"/>
  <c r="G460" i="39"/>
  <c r="G457" i="39"/>
  <c r="G456" i="39"/>
  <c r="AI351" i="39"/>
  <c r="B351" i="39"/>
  <c r="C351" i="39"/>
  <c r="D351" i="39"/>
  <c r="E351" i="39"/>
  <c r="F351" i="39"/>
  <c r="G351" i="39"/>
  <c r="H351" i="39"/>
  <c r="I351" i="39"/>
  <c r="J351" i="39"/>
  <c r="K351" i="39"/>
  <c r="K3" i="17" s="1"/>
  <c r="L351" i="39"/>
  <c r="M351" i="39"/>
  <c r="N351" i="39"/>
  <c r="O351" i="39"/>
  <c r="P351" i="39"/>
  <c r="Q351" i="39"/>
  <c r="R351" i="39"/>
  <c r="F457" i="39"/>
  <c r="F454" i="39"/>
  <c r="F455" i="39"/>
  <c r="F458" i="39"/>
  <c r="F463" i="39"/>
  <c r="F461" i="39"/>
  <c r="F460" i="39"/>
  <c r="F462" i="39"/>
  <c r="S351" i="39"/>
  <c r="S3" i="17" s="1"/>
  <c r="F459" i="39"/>
  <c r="F456" i="39"/>
  <c r="T351" i="39"/>
  <c r="U351" i="39"/>
  <c r="V351" i="39"/>
  <c r="W351" i="39"/>
  <c r="X351" i="39"/>
  <c r="Y351" i="39"/>
  <c r="Y3" i="17" s="1"/>
  <c r="Z351" i="39"/>
  <c r="AA351" i="39"/>
  <c r="AB351" i="39"/>
  <c r="AC351" i="39"/>
  <c r="AD351" i="39"/>
  <c r="AE351" i="39"/>
  <c r="AF351" i="39"/>
  <c r="AG351" i="39"/>
  <c r="AG3" i="17" s="1"/>
  <c r="AH351" i="39"/>
  <c r="B339" i="39"/>
  <c r="B365" i="39"/>
  <c r="B4" i="18" s="1"/>
  <c r="B378" i="39"/>
  <c r="AI365" i="39"/>
  <c r="AI4" i="18" s="1"/>
  <c r="AI339" i="39"/>
  <c r="D365" i="39"/>
  <c r="D4" i="18" s="1"/>
  <c r="D339" i="39"/>
  <c r="C339" i="39"/>
  <c r="C365" i="39"/>
  <c r="C4" i="18" s="1"/>
  <c r="E339" i="39"/>
  <c r="E365" i="39"/>
  <c r="E4" i="18" s="1"/>
  <c r="F365" i="39"/>
  <c r="F4" i="18" s="1"/>
  <c r="F339" i="39"/>
  <c r="G365" i="39"/>
  <c r="G4" i="18" s="1"/>
  <c r="G339" i="39"/>
  <c r="H365" i="39"/>
  <c r="H4" i="18" s="1"/>
  <c r="H339" i="39"/>
  <c r="I339" i="39"/>
  <c r="I365" i="39"/>
  <c r="I4" i="18" s="1"/>
  <c r="J339" i="39"/>
  <c r="J365" i="39"/>
  <c r="J4" i="18" s="1"/>
  <c r="K339" i="39"/>
  <c r="K365" i="39"/>
  <c r="K4" i="18" s="1"/>
  <c r="L365" i="39"/>
  <c r="L4" i="18" s="1"/>
  <c r="L339" i="39"/>
  <c r="M339" i="39"/>
  <c r="M365" i="39"/>
  <c r="M4" i="18" s="1"/>
  <c r="N365" i="39"/>
  <c r="N4" i="18" s="1"/>
  <c r="N339" i="39"/>
  <c r="O339" i="39"/>
  <c r="O365" i="39"/>
  <c r="O4" i="18" s="1"/>
  <c r="P365" i="39"/>
  <c r="P4" i="18" s="1"/>
  <c r="P339" i="39"/>
  <c r="Q339" i="39"/>
  <c r="Q365" i="39"/>
  <c r="Q4" i="18" s="1"/>
  <c r="R365" i="39"/>
  <c r="R4" i="18" s="1"/>
  <c r="R339" i="39"/>
  <c r="S365" i="39"/>
  <c r="S4" i="18" s="1"/>
  <c r="S339" i="39"/>
  <c r="K456" i="39"/>
  <c r="K461" i="39"/>
  <c r="K455" i="39"/>
  <c r="K457" i="39"/>
  <c r="K458" i="39"/>
  <c r="K462" i="39"/>
  <c r="K459" i="39"/>
  <c r="K463" i="39"/>
  <c r="K454" i="39"/>
  <c r="T339" i="39"/>
  <c r="K460" i="39"/>
  <c r="T365" i="39"/>
  <c r="T4" i="18" s="1"/>
  <c r="U339" i="39"/>
  <c r="U365" i="39"/>
  <c r="U4" i="18" s="1"/>
  <c r="V365" i="39"/>
  <c r="V4" i="18" s="1"/>
  <c r="V339" i="39"/>
  <c r="W339" i="39"/>
  <c r="W365" i="39"/>
  <c r="W4" i="18" s="1"/>
  <c r="X339" i="39"/>
  <c r="X365" i="39"/>
  <c r="X4" i="18" s="1"/>
  <c r="Y339" i="39"/>
  <c r="Y365" i="39"/>
  <c r="Y4" i="18" s="1"/>
  <c r="Z339" i="39"/>
  <c r="Z365" i="39"/>
  <c r="Z4" i="18" s="1"/>
  <c r="AA339" i="39"/>
  <c r="AA365" i="39"/>
  <c r="AA4" i="18" s="1"/>
  <c r="AB339" i="39"/>
  <c r="AB365" i="39"/>
  <c r="AB4" i="18" s="1"/>
  <c r="AC365" i="39"/>
  <c r="AC4" i="18" s="1"/>
  <c r="AC339" i="39"/>
  <c r="AD339" i="39"/>
  <c r="AD365" i="39"/>
  <c r="AD4" i="18" s="1"/>
  <c r="AE365" i="39"/>
  <c r="AE4" i="18" s="1"/>
  <c r="AE339" i="39"/>
  <c r="AF339" i="39"/>
  <c r="AF365" i="39"/>
  <c r="AF4" i="18" s="1"/>
  <c r="AG365" i="39"/>
  <c r="AG4" i="18" s="1"/>
  <c r="AG339" i="39"/>
  <c r="AH365" i="39"/>
  <c r="AH4" i="18" s="1"/>
  <c r="AH339" i="39"/>
  <c r="J463" i="39"/>
  <c r="J456" i="39"/>
  <c r="J454" i="39"/>
  <c r="J457" i="39"/>
  <c r="J460" i="39"/>
  <c r="J458" i="39"/>
  <c r="J462" i="39"/>
  <c r="J459" i="39"/>
  <c r="J461" i="39"/>
  <c r="J455" i="39"/>
  <c r="B2" i="18"/>
  <c r="B430" i="39"/>
  <c r="B9" i="18" s="1"/>
  <c r="B363" i="39"/>
  <c r="B337" i="39"/>
  <c r="B376" i="39"/>
  <c r="F191" i="39"/>
  <c r="F253" i="39" s="1"/>
  <c r="F263" i="39" s="1"/>
  <c r="L6" i="17"/>
  <c r="F6" i="17"/>
  <c r="G6" i="17"/>
  <c r="M6" i="17"/>
  <c r="H6" i="17"/>
  <c r="I6" i="17"/>
  <c r="B390" i="39"/>
  <c r="B6" i="17" s="1"/>
  <c r="J6" i="17"/>
  <c r="C390" i="39"/>
  <c r="C6" i="17" s="1"/>
  <c r="K6" i="17"/>
  <c r="D390" i="39"/>
  <c r="D6" i="17" s="1"/>
  <c r="E6" i="17"/>
  <c r="N6" i="17"/>
  <c r="O6" i="17"/>
  <c r="P6" i="17"/>
  <c r="Q6" i="17"/>
  <c r="R6" i="17"/>
  <c r="S6" i="17"/>
  <c r="T6" i="17"/>
  <c r="U6" i="17"/>
  <c r="V6" i="17"/>
  <c r="W6" i="17"/>
  <c r="X6" i="17"/>
  <c r="Y6" i="17"/>
  <c r="Z6" i="17"/>
  <c r="AA6" i="17"/>
  <c r="AB6" i="17"/>
  <c r="AC6" i="17"/>
  <c r="AD6" i="17"/>
  <c r="AE6" i="17"/>
  <c r="AF6" i="17"/>
  <c r="AG6" i="17"/>
  <c r="AH6" i="17"/>
  <c r="AI6" i="17"/>
  <c r="E191" i="39"/>
  <c r="E253" i="39" s="1"/>
  <c r="J396" i="39"/>
  <c r="J6" i="23" s="1"/>
  <c r="G396" i="39"/>
  <c r="G6" i="23" s="1"/>
  <c r="H396" i="39"/>
  <c r="H6" i="23" s="1"/>
  <c r="I396" i="39"/>
  <c r="I6" i="23" s="1"/>
  <c r="C396" i="39"/>
  <c r="C6" i="23" s="1"/>
  <c r="K396" i="39"/>
  <c r="K6" i="23" s="1"/>
  <c r="B396" i="39"/>
  <c r="B6" i="23" s="1"/>
  <c r="D396" i="39"/>
  <c r="D6" i="23" s="1"/>
  <c r="E396" i="39"/>
  <c r="E6" i="23" s="1"/>
  <c r="F396" i="39"/>
  <c r="F6" i="23" s="1"/>
  <c r="L396" i="39"/>
  <c r="L6" i="23" s="1"/>
  <c r="M396" i="39"/>
  <c r="M6" i="23" s="1"/>
  <c r="N396" i="39"/>
  <c r="N6" i="23" s="1"/>
  <c r="O396" i="39"/>
  <c r="O6" i="23" s="1"/>
  <c r="P396" i="39"/>
  <c r="P6" i="23" s="1"/>
  <c r="Q396" i="39"/>
  <c r="Q6" i="23" s="1"/>
  <c r="R396" i="39"/>
  <c r="R6" i="23" s="1"/>
  <c r="S396" i="39"/>
  <c r="S6" i="23" s="1"/>
  <c r="T396" i="39"/>
  <c r="T6" i="23" s="1"/>
  <c r="U396" i="39"/>
  <c r="U6" i="23" s="1"/>
  <c r="V396" i="39"/>
  <c r="V6" i="23" s="1"/>
  <c r="W396" i="39"/>
  <c r="W6" i="23" s="1"/>
  <c r="X396" i="39"/>
  <c r="X6" i="23" s="1"/>
  <c r="Y396" i="39"/>
  <c r="Y6" i="23" s="1"/>
  <c r="Z396" i="39"/>
  <c r="Z6" i="23" s="1"/>
  <c r="AA396" i="39"/>
  <c r="AA6" i="23" s="1"/>
  <c r="AB396" i="39"/>
  <c r="AB6" i="23" s="1"/>
  <c r="AC396" i="39"/>
  <c r="AC6" i="23" s="1"/>
  <c r="AD396" i="39"/>
  <c r="AD6" i="23" s="1"/>
  <c r="AE396" i="39"/>
  <c r="AE6" i="23" s="1"/>
  <c r="AF396" i="39"/>
  <c r="AF6" i="23" s="1"/>
  <c r="AG396" i="39"/>
  <c r="AG6" i="23" s="1"/>
  <c r="AH396" i="39"/>
  <c r="AH6" i="23" s="1"/>
  <c r="AI396" i="39"/>
  <c r="AI6" i="23" s="1"/>
  <c r="E189" i="39"/>
  <c r="D288" i="39" s="1"/>
  <c r="B422" i="39"/>
  <c r="B8" i="23" s="1"/>
  <c r="C422" i="39"/>
  <c r="D422" i="39"/>
  <c r="E422" i="39"/>
  <c r="F422" i="39"/>
  <c r="G422" i="39"/>
  <c r="H422" i="39"/>
  <c r="I422" i="39"/>
  <c r="J422" i="39"/>
  <c r="K422" i="39"/>
  <c r="L422" i="39"/>
  <c r="M422" i="39"/>
  <c r="N422" i="39"/>
  <c r="O422" i="39"/>
  <c r="P422" i="39"/>
  <c r="Q422" i="39"/>
  <c r="R422" i="39"/>
  <c r="S422" i="39"/>
  <c r="T422" i="39"/>
  <c r="U422" i="39"/>
  <c r="V422" i="39"/>
  <c r="W422" i="39"/>
  <c r="X422" i="39"/>
  <c r="Y422" i="39"/>
  <c r="Z422" i="39"/>
  <c r="AA422" i="39"/>
  <c r="AB422" i="39"/>
  <c r="AC422" i="39"/>
  <c r="AD422" i="39"/>
  <c r="AE422" i="39"/>
  <c r="AF422" i="39"/>
  <c r="AG422" i="39"/>
  <c r="AH422" i="39"/>
  <c r="AI422" i="39"/>
  <c r="AI375" i="39"/>
  <c r="AI427" i="39" s="1"/>
  <c r="C375" i="39"/>
  <c r="C427" i="39" s="1"/>
  <c r="B375" i="39"/>
  <c r="B427" i="39" s="1"/>
  <c r="I191" i="39"/>
  <c r="I253" i="39" s="1"/>
  <c r="H264" i="39" s="1"/>
  <c r="K6" i="22"/>
  <c r="E6" i="22"/>
  <c r="F6" i="22"/>
  <c r="G6" i="22"/>
  <c r="L6" i="22"/>
  <c r="H6" i="22"/>
  <c r="I6" i="22"/>
  <c r="B395" i="39"/>
  <c r="B6" i="22" s="1"/>
  <c r="J6" i="22"/>
  <c r="C395" i="39"/>
  <c r="C6" i="22" s="1"/>
  <c r="D395" i="39"/>
  <c r="D6" i="22" s="1"/>
  <c r="M6" i="22"/>
  <c r="N6" i="22"/>
  <c r="O6" i="22"/>
  <c r="P6" i="22"/>
  <c r="Q6" i="22"/>
  <c r="R6" i="22"/>
  <c r="S6" i="22"/>
  <c r="T6" i="22"/>
  <c r="U6" i="22"/>
  <c r="V6" i="22"/>
  <c r="W6" i="22"/>
  <c r="X6" i="22"/>
  <c r="Y6" i="22"/>
  <c r="Z6" i="22"/>
  <c r="AA6" i="22"/>
  <c r="AB6" i="22"/>
  <c r="AC6" i="22"/>
  <c r="AD6" i="22"/>
  <c r="AE6" i="22"/>
  <c r="AF6" i="22"/>
  <c r="AG6" i="22"/>
  <c r="AH6" i="22"/>
  <c r="AI6" i="22"/>
  <c r="F192" i="39"/>
  <c r="B377" i="39"/>
  <c r="B364" i="39"/>
  <c r="B338" i="39"/>
  <c r="C338" i="39"/>
  <c r="C377" i="39"/>
  <c r="C5" i="17" s="1"/>
  <c r="C364" i="39"/>
  <c r="C4" i="17" s="1"/>
  <c r="D338" i="39"/>
  <c r="D377" i="39"/>
  <c r="D5" i="17" s="1"/>
  <c r="D364" i="39"/>
  <c r="D4" i="17" s="1"/>
  <c r="E338" i="39"/>
  <c r="B3" i="17"/>
  <c r="E377" i="39"/>
  <c r="E5" i="17" s="1"/>
  <c r="E364" i="39"/>
  <c r="E4" i="17" s="1"/>
  <c r="F338" i="39"/>
  <c r="E3" i="17"/>
  <c r="F377" i="39"/>
  <c r="F5" i="17" s="1"/>
  <c r="F364" i="39"/>
  <c r="F4" i="17" s="1"/>
  <c r="F3" i="17"/>
  <c r="G377" i="39"/>
  <c r="G5" i="17" s="1"/>
  <c r="G364" i="39"/>
  <c r="G4" i="17" s="1"/>
  <c r="G3" i="17"/>
  <c r="G338" i="39"/>
  <c r="H338" i="39"/>
  <c r="H429" i="39" s="1"/>
  <c r="H377" i="39"/>
  <c r="H5" i="17" s="1"/>
  <c r="H3" i="17"/>
  <c r="H364" i="39"/>
  <c r="H4" i="17" s="1"/>
  <c r="I3" i="17"/>
  <c r="I377" i="39"/>
  <c r="I5" i="17" s="1"/>
  <c r="I364" i="39"/>
  <c r="I4" i="17" s="1"/>
  <c r="I338" i="39"/>
  <c r="J377" i="39"/>
  <c r="J5" i="17" s="1"/>
  <c r="J3" i="17"/>
  <c r="J338" i="39"/>
  <c r="J429" i="39" s="1"/>
  <c r="J364" i="39"/>
  <c r="J4" i="17" s="1"/>
  <c r="K377" i="39"/>
  <c r="K5" i="17" s="1"/>
  <c r="K364" i="39"/>
  <c r="K4" i="17" s="1"/>
  <c r="K338" i="39"/>
  <c r="L364" i="39"/>
  <c r="L4" i="17" s="1"/>
  <c r="L338" i="39"/>
  <c r="L429" i="39" s="1"/>
  <c r="L3" i="17"/>
  <c r="L377" i="39"/>
  <c r="L5" i="17" s="1"/>
  <c r="M3" i="17"/>
  <c r="M377" i="39"/>
  <c r="M5" i="17" s="1"/>
  <c r="M338" i="39"/>
  <c r="M429" i="39" s="1"/>
  <c r="M364" i="39"/>
  <c r="M4" i="17" s="1"/>
  <c r="N3" i="17"/>
  <c r="N338" i="39"/>
  <c r="N377" i="39"/>
  <c r="N5" i="17" s="1"/>
  <c r="N364" i="39"/>
  <c r="N4" i="17" s="1"/>
  <c r="O377" i="39"/>
  <c r="O5" i="17" s="1"/>
  <c r="O364" i="39"/>
  <c r="O4" i="17" s="1"/>
  <c r="O3" i="17"/>
  <c r="O338" i="39"/>
  <c r="P364" i="39"/>
  <c r="P4" i="17" s="1"/>
  <c r="P3" i="17"/>
  <c r="P338" i="39"/>
  <c r="P429" i="39" s="1"/>
  <c r="P377" i="39"/>
  <c r="P5" i="17" s="1"/>
  <c r="Q377" i="39"/>
  <c r="Q5" i="17" s="1"/>
  <c r="Q364" i="39"/>
  <c r="Q4" i="17" s="1"/>
  <c r="Q3" i="17"/>
  <c r="Q338" i="39"/>
  <c r="R364" i="39"/>
  <c r="R4" i="17" s="1"/>
  <c r="R3" i="17"/>
  <c r="R338" i="39"/>
  <c r="R429" i="39" s="1"/>
  <c r="R377" i="39"/>
  <c r="R5" i="17" s="1"/>
  <c r="S338" i="39"/>
  <c r="S377" i="39"/>
  <c r="S5" i="17" s="1"/>
  <c r="S364" i="39"/>
  <c r="S4" i="17" s="1"/>
  <c r="T364" i="39"/>
  <c r="T4" i="17" s="1"/>
  <c r="T3" i="17"/>
  <c r="T338" i="39"/>
  <c r="T429" i="39" s="1"/>
  <c r="T377" i="39"/>
  <c r="T5" i="17" s="1"/>
  <c r="U377" i="39"/>
  <c r="U5" i="17" s="1"/>
  <c r="U3" i="17"/>
  <c r="U338" i="39"/>
  <c r="U429" i="39" s="1"/>
  <c r="U364" i="39"/>
  <c r="U4" i="17" s="1"/>
  <c r="V3" i="17"/>
  <c r="V377" i="39"/>
  <c r="V5" i="17" s="1"/>
  <c r="V364" i="39"/>
  <c r="V4" i="17" s="1"/>
  <c r="V338" i="39"/>
  <c r="W364" i="39"/>
  <c r="W4" i="17" s="1"/>
  <c r="W3" i="17"/>
  <c r="W338" i="39"/>
  <c r="W429" i="39" s="1"/>
  <c r="W377" i="39"/>
  <c r="W5" i="17" s="1"/>
  <c r="X338" i="39"/>
  <c r="X429" i="39" s="1"/>
  <c r="X377" i="39"/>
  <c r="X5" i="17" s="1"/>
  <c r="X3" i="17"/>
  <c r="X364" i="39"/>
  <c r="X4" i="17" s="1"/>
  <c r="Y338" i="39"/>
  <c r="Y377" i="39"/>
  <c r="Y5" i="17" s="1"/>
  <c r="Y364" i="39"/>
  <c r="Y4" i="17" s="1"/>
  <c r="Z364" i="39"/>
  <c r="Z4" i="17" s="1"/>
  <c r="Z3" i="17"/>
  <c r="Z338" i="39"/>
  <c r="Z429" i="39" s="1"/>
  <c r="Z377" i="39"/>
  <c r="Z5" i="17" s="1"/>
  <c r="AA338" i="39"/>
  <c r="AA429" i="39" s="1"/>
  <c r="AA364" i="39"/>
  <c r="AA4" i="17" s="1"/>
  <c r="AA3" i="17"/>
  <c r="AA377" i="39"/>
  <c r="AA5" i="17" s="1"/>
  <c r="AB338" i="39"/>
  <c r="AB377" i="39"/>
  <c r="AB5" i="17" s="1"/>
  <c r="AB364" i="39"/>
  <c r="AB4" i="17" s="1"/>
  <c r="AB3" i="17"/>
  <c r="AC377" i="39"/>
  <c r="AC5" i="17" s="1"/>
  <c r="AC364" i="39"/>
  <c r="AC4" i="17" s="1"/>
  <c r="AC3" i="17"/>
  <c r="AC338" i="39"/>
  <c r="AD377" i="39"/>
  <c r="AD5" i="17" s="1"/>
  <c r="AD364" i="39"/>
  <c r="AD4" i="17" s="1"/>
  <c r="AD338" i="39"/>
  <c r="AD429" i="39" s="1"/>
  <c r="AD3" i="17"/>
  <c r="AE364" i="39"/>
  <c r="AE4" i="17" s="1"/>
  <c r="AE3" i="17"/>
  <c r="AE338" i="39"/>
  <c r="AE429" i="39" s="1"/>
  <c r="AE377" i="39"/>
  <c r="AE5" i="17" s="1"/>
  <c r="AF338" i="39"/>
  <c r="AF377" i="39"/>
  <c r="AF5" i="17" s="1"/>
  <c r="AF364" i="39"/>
  <c r="AF4" i="17" s="1"/>
  <c r="AF3" i="17"/>
  <c r="AG377" i="39"/>
  <c r="AG5" i="17" s="1"/>
  <c r="AG364" i="39"/>
  <c r="AG4" i="17" s="1"/>
  <c r="AG338" i="39"/>
  <c r="AH377" i="39"/>
  <c r="AH5" i="17" s="1"/>
  <c r="AH364" i="39"/>
  <c r="AH4" i="17" s="1"/>
  <c r="AH3" i="17"/>
  <c r="AH338" i="39"/>
  <c r="AI364" i="39"/>
  <c r="AI4" i="17" s="1"/>
  <c r="AI3" i="17"/>
  <c r="AI338" i="39"/>
  <c r="AI429" i="39" s="1"/>
  <c r="AI377" i="39"/>
  <c r="AI5" i="17" s="1"/>
  <c r="I192" i="39"/>
  <c r="I196" i="39" s="1"/>
  <c r="B369" i="39"/>
  <c r="B4" i="22" s="1"/>
  <c r="B356" i="39"/>
  <c r="B343" i="39"/>
  <c r="B382" i="39"/>
  <c r="C356" i="39"/>
  <c r="C3" i="22" s="1"/>
  <c r="C343" i="39"/>
  <c r="C369" i="39"/>
  <c r="C4" i="22" s="1"/>
  <c r="C382" i="39"/>
  <c r="C5" i="22" s="1"/>
  <c r="D369" i="39"/>
  <c r="D4" i="22" s="1"/>
  <c r="D356" i="39"/>
  <c r="D3" i="22" s="1"/>
  <c r="D343" i="39"/>
  <c r="D382" i="39"/>
  <c r="D5" i="22" s="1"/>
  <c r="E343" i="39"/>
  <c r="E356" i="39"/>
  <c r="E3" i="22" s="1"/>
  <c r="E382" i="39"/>
  <c r="E5" i="22" s="1"/>
  <c r="E369" i="39"/>
  <c r="E4" i="22" s="1"/>
  <c r="F356" i="39"/>
  <c r="F3" i="22" s="1"/>
  <c r="F343" i="39"/>
  <c r="F382" i="39"/>
  <c r="F5" i="22" s="1"/>
  <c r="F369" i="39"/>
  <c r="F4" i="22" s="1"/>
  <c r="G343" i="39"/>
  <c r="G382" i="39"/>
  <c r="G5" i="22" s="1"/>
  <c r="G356" i="39"/>
  <c r="G3" i="22" s="1"/>
  <c r="G369" i="39"/>
  <c r="G4" i="22" s="1"/>
  <c r="H369" i="39"/>
  <c r="H4" i="22" s="1"/>
  <c r="H356" i="39"/>
  <c r="H3" i="22" s="1"/>
  <c r="H343" i="39"/>
  <c r="H382" i="39"/>
  <c r="H5" i="22" s="1"/>
  <c r="I382" i="39"/>
  <c r="I5" i="22" s="1"/>
  <c r="I356" i="39"/>
  <c r="I3" i="22" s="1"/>
  <c r="I369" i="39"/>
  <c r="I4" i="22" s="1"/>
  <c r="I343" i="39"/>
  <c r="J382" i="39"/>
  <c r="J5" i="22" s="1"/>
  <c r="J343" i="39"/>
  <c r="J369" i="39"/>
  <c r="J4" i="22" s="1"/>
  <c r="J356" i="39"/>
  <c r="J3" i="22" s="1"/>
  <c r="K382" i="39"/>
  <c r="K5" i="22" s="1"/>
  <c r="K343" i="39"/>
  <c r="K369" i="39"/>
  <c r="K4" i="22" s="1"/>
  <c r="K356" i="39"/>
  <c r="K3" i="22" s="1"/>
  <c r="L343" i="39"/>
  <c r="L382" i="39"/>
  <c r="L5" i="22" s="1"/>
  <c r="L369" i="39"/>
  <c r="L4" i="22" s="1"/>
  <c r="L356" i="39"/>
  <c r="L3" i="22" s="1"/>
  <c r="M382" i="39"/>
  <c r="M5" i="22" s="1"/>
  <c r="M343" i="39"/>
  <c r="M369" i="39"/>
  <c r="M4" i="22" s="1"/>
  <c r="M356" i="39"/>
  <c r="M3" i="22" s="1"/>
  <c r="N382" i="39"/>
  <c r="N5" i="22" s="1"/>
  <c r="N369" i="39"/>
  <c r="N4" i="22" s="1"/>
  <c r="N356" i="39"/>
  <c r="N3" i="22" s="1"/>
  <c r="N343" i="39"/>
  <c r="O369" i="39"/>
  <c r="O4" i="22" s="1"/>
  <c r="O343" i="39"/>
  <c r="O382" i="39"/>
  <c r="O5" i="22" s="1"/>
  <c r="O356" i="39"/>
  <c r="O3" i="22" s="1"/>
  <c r="P343" i="39"/>
  <c r="P382" i="39"/>
  <c r="P5" i="22" s="1"/>
  <c r="P369" i="39"/>
  <c r="P4" i="22" s="1"/>
  <c r="P356" i="39"/>
  <c r="P3" i="22" s="1"/>
  <c r="Q382" i="39"/>
  <c r="Q5" i="22" s="1"/>
  <c r="Q356" i="39"/>
  <c r="Q3" i="22" s="1"/>
  <c r="Q343" i="39"/>
  <c r="Q369" i="39"/>
  <c r="Q4" i="22" s="1"/>
  <c r="R382" i="39"/>
  <c r="R5" i="22" s="1"/>
  <c r="R369" i="39"/>
  <c r="R4" i="22" s="1"/>
  <c r="R356" i="39"/>
  <c r="R3" i="22" s="1"/>
  <c r="R343" i="39"/>
  <c r="S343" i="39"/>
  <c r="S382" i="39"/>
  <c r="S5" i="22" s="1"/>
  <c r="S369" i="39"/>
  <c r="S4" i="22" s="1"/>
  <c r="S356" i="39"/>
  <c r="S3" i="22" s="1"/>
  <c r="T382" i="39"/>
  <c r="T5" i="22" s="1"/>
  <c r="T369" i="39"/>
  <c r="T4" i="22" s="1"/>
  <c r="T356" i="39"/>
  <c r="T3" i="22" s="1"/>
  <c r="T343" i="39"/>
  <c r="U356" i="39"/>
  <c r="U3" i="22" s="1"/>
  <c r="U382" i="39"/>
  <c r="U5" i="22" s="1"/>
  <c r="U343" i="39"/>
  <c r="U369" i="39"/>
  <c r="U4" i="22" s="1"/>
  <c r="V356" i="39"/>
  <c r="V3" i="22" s="1"/>
  <c r="V343" i="39"/>
  <c r="V382" i="39"/>
  <c r="V5" i="22" s="1"/>
  <c r="V369" i="39"/>
  <c r="V4" i="22" s="1"/>
  <c r="W343" i="39"/>
  <c r="W356" i="39"/>
  <c r="W3" i="22" s="1"/>
  <c r="W382" i="39"/>
  <c r="W5" i="22" s="1"/>
  <c r="W369" i="39"/>
  <c r="W4" i="22" s="1"/>
  <c r="X343" i="39"/>
  <c r="X382" i="39"/>
  <c r="X5" i="22" s="1"/>
  <c r="X369" i="39"/>
  <c r="X4" i="22" s="1"/>
  <c r="X356" i="39"/>
  <c r="X3" i="22" s="1"/>
  <c r="Y343" i="39"/>
  <c r="Y382" i="39"/>
  <c r="Y5" i="22" s="1"/>
  <c r="Y356" i="39"/>
  <c r="Y3" i="22" s="1"/>
  <c r="Y369" i="39"/>
  <c r="Y4" i="22" s="1"/>
  <c r="Z343" i="39"/>
  <c r="Z369" i="39"/>
  <c r="Z4" i="22" s="1"/>
  <c r="Z382" i="39"/>
  <c r="Z5" i="22" s="1"/>
  <c r="Z356" i="39"/>
  <c r="Z3" i="22" s="1"/>
  <c r="AA369" i="39"/>
  <c r="AA4" i="22" s="1"/>
  <c r="AA356" i="39"/>
  <c r="AA3" i="22" s="1"/>
  <c r="AA382" i="39"/>
  <c r="AA5" i="22" s="1"/>
  <c r="AA343" i="39"/>
  <c r="AB382" i="39"/>
  <c r="AB5" i="22" s="1"/>
  <c r="AB369" i="39"/>
  <c r="AB4" i="22" s="1"/>
  <c r="AB356" i="39"/>
  <c r="AB3" i="22" s="1"/>
  <c r="AB343" i="39"/>
  <c r="AC356" i="39"/>
  <c r="AC3" i="22" s="1"/>
  <c r="AC369" i="39"/>
  <c r="AC4" i="22" s="1"/>
  <c r="AC382" i="39"/>
  <c r="AC5" i="22" s="1"/>
  <c r="AC343" i="39"/>
  <c r="AD369" i="39"/>
  <c r="AD4" i="22" s="1"/>
  <c r="AD356" i="39"/>
  <c r="AD3" i="22" s="1"/>
  <c r="AD343" i="39"/>
  <c r="AD382" i="39"/>
  <c r="AD5" i="22" s="1"/>
  <c r="AE369" i="39"/>
  <c r="AE4" i="22" s="1"/>
  <c r="AE343" i="39"/>
  <c r="AE382" i="39"/>
  <c r="AE5" i="22" s="1"/>
  <c r="AE356" i="39"/>
  <c r="AE3" i="22" s="1"/>
  <c r="AF369" i="39"/>
  <c r="AF4" i="22" s="1"/>
  <c r="AF356" i="39"/>
  <c r="AF3" i="22" s="1"/>
  <c r="AF343" i="39"/>
  <c r="AF382" i="39"/>
  <c r="AF5" i="22" s="1"/>
  <c r="AG382" i="39"/>
  <c r="AG5" i="22" s="1"/>
  <c r="AG356" i="39"/>
  <c r="AG3" i="22" s="1"/>
  <c r="AG369" i="39"/>
  <c r="AG4" i="22" s="1"/>
  <c r="AG343" i="39"/>
  <c r="AH382" i="39"/>
  <c r="AH5" i="22" s="1"/>
  <c r="AH369" i="39"/>
  <c r="AH4" i="22" s="1"/>
  <c r="AH356" i="39"/>
  <c r="AH3" i="22" s="1"/>
  <c r="AH343" i="39"/>
  <c r="AI382" i="39"/>
  <c r="AI5" i="22" s="1"/>
  <c r="AI356" i="39"/>
  <c r="AI3" i="22" s="1"/>
  <c r="AI343" i="39"/>
  <c r="AI369" i="39"/>
  <c r="AI4" i="22" s="1"/>
  <c r="E192" i="39"/>
  <c r="E196" i="39" s="1"/>
  <c r="B370" i="39"/>
  <c r="B4" i="23" s="1"/>
  <c r="B383" i="39"/>
  <c r="B357" i="39"/>
  <c r="C344" i="39"/>
  <c r="C2" i="23" s="1"/>
  <c r="C383" i="39"/>
  <c r="C5" i="23" s="1"/>
  <c r="C370" i="39"/>
  <c r="C4" i="23" s="1"/>
  <c r="D344" i="39"/>
  <c r="D2" i="23" s="1"/>
  <c r="D383" i="39"/>
  <c r="D5" i="23" s="1"/>
  <c r="D370" i="39"/>
  <c r="D4" i="23" s="1"/>
  <c r="E370" i="39"/>
  <c r="E4" i="23" s="1"/>
  <c r="E344" i="39"/>
  <c r="E2" i="23" s="1"/>
  <c r="E383" i="39"/>
  <c r="E5" i="23" s="1"/>
  <c r="F383" i="39"/>
  <c r="F5" i="23" s="1"/>
  <c r="F370" i="39"/>
  <c r="F4" i="23" s="1"/>
  <c r="F344" i="39"/>
  <c r="F2" i="23" s="1"/>
  <c r="G370" i="39"/>
  <c r="G4" i="23" s="1"/>
  <c r="G344" i="39"/>
  <c r="G2" i="23" s="1"/>
  <c r="G383" i="39"/>
  <c r="G5" i="23" s="1"/>
  <c r="H370" i="39"/>
  <c r="H4" i="23" s="1"/>
  <c r="H344" i="39"/>
  <c r="H2" i="23" s="1"/>
  <c r="H383" i="39"/>
  <c r="H5" i="23" s="1"/>
  <c r="I344" i="39"/>
  <c r="I2" i="23" s="1"/>
  <c r="I383" i="39"/>
  <c r="I5" i="23" s="1"/>
  <c r="I370" i="39"/>
  <c r="I4" i="23" s="1"/>
  <c r="J344" i="39"/>
  <c r="J2" i="23" s="1"/>
  <c r="J383" i="39"/>
  <c r="J5" i="23" s="1"/>
  <c r="J370" i="39"/>
  <c r="J4" i="23" s="1"/>
  <c r="K370" i="39"/>
  <c r="K4" i="23" s="1"/>
  <c r="K344" i="39"/>
  <c r="K2" i="23" s="1"/>
  <c r="K383" i="39"/>
  <c r="K5" i="23" s="1"/>
  <c r="L344" i="39"/>
  <c r="L2" i="23" s="1"/>
  <c r="L383" i="39"/>
  <c r="L5" i="23" s="1"/>
  <c r="L370" i="39"/>
  <c r="L4" i="23" s="1"/>
  <c r="M383" i="39"/>
  <c r="M5" i="23" s="1"/>
  <c r="M344" i="39"/>
  <c r="M2" i="23" s="1"/>
  <c r="M370" i="39"/>
  <c r="M4" i="23" s="1"/>
  <c r="M357" i="39"/>
  <c r="M3" i="23" s="1"/>
  <c r="F357" i="39"/>
  <c r="F3" i="23" s="1"/>
  <c r="N370" i="39"/>
  <c r="N4" i="23" s="1"/>
  <c r="G357" i="39"/>
  <c r="G3" i="23" s="1"/>
  <c r="H357" i="39"/>
  <c r="H3" i="23" s="1"/>
  <c r="N357" i="39"/>
  <c r="N3" i="23" s="1"/>
  <c r="I357" i="39"/>
  <c r="I3" i="23" s="1"/>
  <c r="J357" i="39"/>
  <c r="J3" i="23" s="1"/>
  <c r="N344" i="39"/>
  <c r="N2" i="23" s="1"/>
  <c r="C357" i="39"/>
  <c r="C3" i="23" s="1"/>
  <c r="K357" i="39"/>
  <c r="K3" i="23" s="1"/>
  <c r="D357" i="39"/>
  <c r="D3" i="23" s="1"/>
  <c r="L357" i="39"/>
  <c r="L3" i="23" s="1"/>
  <c r="E357" i="39"/>
  <c r="E3" i="23" s="1"/>
  <c r="N383" i="39"/>
  <c r="N5" i="23" s="1"/>
  <c r="O344" i="39"/>
  <c r="O2" i="23" s="1"/>
  <c r="O370" i="39"/>
  <c r="O4" i="23" s="1"/>
  <c r="O383" i="39"/>
  <c r="O5" i="23" s="1"/>
  <c r="O357" i="39"/>
  <c r="O3" i="23" s="1"/>
  <c r="P344" i="39"/>
  <c r="P2" i="23" s="1"/>
  <c r="P383" i="39"/>
  <c r="P5" i="23" s="1"/>
  <c r="P370" i="39"/>
  <c r="P4" i="23" s="1"/>
  <c r="P357" i="39"/>
  <c r="P3" i="23" s="1"/>
  <c r="Q383" i="39"/>
  <c r="Q5" i="23" s="1"/>
  <c r="Q344" i="39"/>
  <c r="Q2" i="23" s="1"/>
  <c r="Q370" i="39"/>
  <c r="Q4" i="23" s="1"/>
  <c r="Q357" i="39"/>
  <c r="Q3" i="23" s="1"/>
  <c r="R344" i="39"/>
  <c r="R2" i="23" s="1"/>
  <c r="R383" i="39"/>
  <c r="R5" i="23" s="1"/>
  <c r="R370" i="39"/>
  <c r="R4" i="23" s="1"/>
  <c r="R357" i="39"/>
  <c r="R3" i="23" s="1"/>
  <c r="S357" i="39"/>
  <c r="S3" i="23" s="1"/>
  <c r="S383" i="39"/>
  <c r="S5" i="23" s="1"/>
  <c r="S370" i="39"/>
  <c r="S4" i="23" s="1"/>
  <c r="S344" i="39"/>
  <c r="S2" i="23" s="1"/>
  <c r="T357" i="39"/>
  <c r="T3" i="23" s="1"/>
  <c r="T344" i="39"/>
  <c r="T2" i="23" s="1"/>
  <c r="T383" i="39"/>
  <c r="T5" i="23" s="1"/>
  <c r="T370" i="39"/>
  <c r="T4" i="23" s="1"/>
  <c r="U370" i="39"/>
  <c r="U4" i="23" s="1"/>
  <c r="U383" i="39"/>
  <c r="U5" i="23" s="1"/>
  <c r="U357" i="39"/>
  <c r="U3" i="23" s="1"/>
  <c r="U344" i="39"/>
  <c r="U2" i="23" s="1"/>
  <c r="V344" i="39"/>
  <c r="V2" i="23" s="1"/>
  <c r="V370" i="39"/>
  <c r="V4" i="23" s="1"/>
  <c r="V383" i="39"/>
  <c r="V5" i="23" s="1"/>
  <c r="V357" i="39"/>
  <c r="V3" i="23" s="1"/>
  <c r="W370" i="39"/>
  <c r="W4" i="23" s="1"/>
  <c r="W357" i="39"/>
  <c r="W3" i="23" s="1"/>
  <c r="W383" i="39"/>
  <c r="W5" i="23" s="1"/>
  <c r="W344" i="39"/>
  <c r="W2" i="23" s="1"/>
  <c r="X344" i="39"/>
  <c r="X2" i="23" s="1"/>
  <c r="X383" i="39"/>
  <c r="X5" i="23" s="1"/>
  <c r="X370" i="39"/>
  <c r="X4" i="23" s="1"/>
  <c r="X357" i="39"/>
  <c r="X3" i="23" s="1"/>
  <c r="Y357" i="39"/>
  <c r="Y3" i="23" s="1"/>
  <c r="Y383" i="39"/>
  <c r="Y5" i="23" s="1"/>
  <c r="Y370" i="39"/>
  <c r="Y4" i="23" s="1"/>
  <c r="Y344" i="39"/>
  <c r="Y2" i="23" s="1"/>
  <c r="Z357" i="39"/>
  <c r="Z3" i="23" s="1"/>
  <c r="Z344" i="39"/>
  <c r="Z2" i="23" s="1"/>
  <c r="Z383" i="39"/>
  <c r="Z5" i="23" s="1"/>
  <c r="Z370" i="39"/>
  <c r="Z4" i="23" s="1"/>
  <c r="AA344" i="39"/>
  <c r="AA2" i="23" s="1"/>
  <c r="AA370" i="39"/>
  <c r="AA4" i="23" s="1"/>
  <c r="AA357" i="39"/>
  <c r="AA3" i="23" s="1"/>
  <c r="AA383" i="39"/>
  <c r="AA5" i="23" s="1"/>
  <c r="AB370" i="39"/>
  <c r="AB4" i="23" s="1"/>
  <c r="AB357" i="39"/>
  <c r="AB3" i="23" s="1"/>
  <c r="AB383" i="39"/>
  <c r="AB5" i="23" s="1"/>
  <c r="AB344" i="39"/>
  <c r="AB2" i="23" s="1"/>
  <c r="AC370" i="39"/>
  <c r="AC4" i="23" s="1"/>
  <c r="AC344" i="39"/>
  <c r="AC2" i="23" s="1"/>
  <c r="AC383" i="39"/>
  <c r="AC5" i="23" s="1"/>
  <c r="AC357" i="39"/>
  <c r="AC3" i="23" s="1"/>
  <c r="AD370" i="39"/>
  <c r="AD4" i="23" s="1"/>
  <c r="AD357" i="39"/>
  <c r="AD3" i="23" s="1"/>
  <c r="AD344" i="39"/>
  <c r="AD2" i="23" s="1"/>
  <c r="AD383" i="39"/>
  <c r="AD5" i="23" s="1"/>
  <c r="AE344" i="39"/>
  <c r="AE2" i="23" s="1"/>
  <c r="AE370" i="39"/>
  <c r="AE4" i="23" s="1"/>
  <c r="AE383" i="39"/>
  <c r="AE5" i="23" s="1"/>
  <c r="AE357" i="39"/>
  <c r="AE3" i="23" s="1"/>
  <c r="AF370" i="39"/>
  <c r="AF4" i="23" s="1"/>
  <c r="AF357" i="39"/>
  <c r="AF3" i="23" s="1"/>
  <c r="AF344" i="39"/>
  <c r="AF2" i="23" s="1"/>
  <c r="AF383" i="39"/>
  <c r="AF5" i="23" s="1"/>
  <c r="AG370" i="39"/>
  <c r="AG4" i="23" s="1"/>
  <c r="AG344" i="39"/>
  <c r="AG2" i="23" s="1"/>
  <c r="AG357" i="39"/>
  <c r="AG3" i="23" s="1"/>
  <c r="AG383" i="39"/>
  <c r="AG5" i="23" s="1"/>
  <c r="AH357" i="39"/>
  <c r="AH3" i="23" s="1"/>
  <c r="AH370" i="39"/>
  <c r="AH4" i="23" s="1"/>
  <c r="AH344" i="39"/>
  <c r="AH2" i="23" s="1"/>
  <c r="AH383" i="39"/>
  <c r="AH5" i="23" s="1"/>
  <c r="AI383" i="39"/>
  <c r="AI5" i="23" s="1"/>
  <c r="AI344" i="39"/>
  <c r="AI2" i="23" s="1"/>
  <c r="AI357" i="39"/>
  <c r="AI3" i="23" s="1"/>
  <c r="AI370" i="39"/>
  <c r="AI4" i="23" s="1"/>
  <c r="C191" i="39"/>
  <c r="C253" i="39" s="1"/>
  <c r="C264" i="39" s="1"/>
  <c r="B350" i="39"/>
  <c r="B389" i="39"/>
  <c r="B6" i="16" s="1"/>
  <c r="H263" i="39"/>
  <c r="E265" i="39"/>
  <c r="E263" i="39"/>
  <c r="E264" i="39"/>
  <c r="C192" i="39"/>
  <c r="F196" i="39"/>
  <c r="I138" i="39"/>
  <c r="I139" i="39"/>
  <c r="D190" i="39" s="1"/>
  <c r="I141" i="39"/>
  <c r="N155" i="39"/>
  <c r="I140" i="39"/>
  <c r="N429" i="39" l="1"/>
  <c r="Q454" i="39"/>
  <c r="AF429" i="39"/>
  <c r="AB429" i="39"/>
  <c r="D2" i="17"/>
  <c r="D429" i="39"/>
  <c r="E461" i="39"/>
  <c r="E457" i="39"/>
  <c r="E455" i="39"/>
  <c r="E459" i="39"/>
  <c r="E456" i="39"/>
  <c r="E460" i="39"/>
  <c r="E462" i="39"/>
  <c r="E463" i="39"/>
  <c r="E454" i="39"/>
  <c r="E458" i="39"/>
  <c r="AG429" i="39"/>
  <c r="AC429" i="39"/>
  <c r="Q429" i="39"/>
  <c r="O429" i="39"/>
  <c r="I429" i="39"/>
  <c r="I9" i="17" s="1"/>
  <c r="G429" i="39"/>
  <c r="G9" i="17" s="1"/>
  <c r="F429" i="39"/>
  <c r="F9" i="17" s="1"/>
  <c r="K429" i="39"/>
  <c r="K9" i="17" s="1"/>
  <c r="B5" i="18"/>
  <c r="C378" i="39"/>
  <c r="C430" i="39" s="1"/>
  <c r="C9" i="18" s="1"/>
  <c r="F265" i="39"/>
  <c r="Y429" i="39"/>
  <c r="C2" i="17"/>
  <c r="C429" i="39"/>
  <c r="F264" i="39"/>
  <c r="S429" i="39"/>
  <c r="S9" i="17" s="1"/>
  <c r="B429" i="39"/>
  <c r="AH429" i="39"/>
  <c r="V429" i="39"/>
  <c r="E429" i="39"/>
  <c r="E9" i="17" s="1"/>
  <c r="C263" i="39"/>
  <c r="H265" i="39"/>
  <c r="B3" i="22"/>
  <c r="O454" i="39"/>
  <c r="B4" i="17"/>
  <c r="Q457" i="39"/>
  <c r="B5" i="17"/>
  <c r="Q455" i="39"/>
  <c r="B5" i="16"/>
  <c r="S455" i="39"/>
  <c r="B3" i="16"/>
  <c r="S454" i="39"/>
  <c r="B4" i="16"/>
  <c r="S457" i="39"/>
  <c r="B3" i="23"/>
  <c r="R454" i="39"/>
  <c r="B5" i="22"/>
  <c r="O455" i="39"/>
  <c r="B5" i="23"/>
  <c r="R455" i="39"/>
  <c r="C265" i="39"/>
  <c r="M2" i="18"/>
  <c r="K2" i="18"/>
  <c r="Y2" i="18"/>
  <c r="D2" i="18"/>
  <c r="C2" i="18"/>
  <c r="AH2" i="18"/>
  <c r="Q2" i="18"/>
  <c r="AE2" i="18"/>
  <c r="AB2" i="18"/>
  <c r="Z2" i="18"/>
  <c r="I2" i="18"/>
  <c r="W2" i="18"/>
  <c r="T2" i="18"/>
  <c r="R2" i="18"/>
  <c r="E2" i="18"/>
  <c r="O2" i="18"/>
  <c r="L2" i="18"/>
  <c r="J2" i="18"/>
  <c r="AF2" i="18"/>
  <c r="G2" i="18"/>
  <c r="AI2" i="18"/>
  <c r="C181" i="14"/>
  <c r="C182" i="14" s="1"/>
  <c r="X2" i="18"/>
  <c r="AD2" i="18"/>
  <c r="AC2" i="18"/>
  <c r="AA2" i="18"/>
  <c r="F2" i="18"/>
  <c r="P2" i="18"/>
  <c r="V2" i="18"/>
  <c r="U2" i="18"/>
  <c r="S2" i="18"/>
  <c r="AG2" i="18"/>
  <c r="H2" i="18"/>
  <c r="N2" i="18"/>
  <c r="Z2" i="22"/>
  <c r="Z434" i="39"/>
  <c r="Z9" i="22" s="1"/>
  <c r="X2" i="22"/>
  <c r="X434" i="39"/>
  <c r="X9" i="22" s="1"/>
  <c r="P2" i="22"/>
  <c r="P434" i="39"/>
  <c r="P9" i="22" s="1"/>
  <c r="L434" i="39"/>
  <c r="L9" i="22" s="1"/>
  <c r="L2" i="22"/>
  <c r="N9" i="17"/>
  <c r="N2" i="17"/>
  <c r="L9" i="17"/>
  <c r="L2" i="17"/>
  <c r="E2" i="17"/>
  <c r="AB8" i="23"/>
  <c r="AB435" i="39"/>
  <c r="AB9" i="23" s="1"/>
  <c r="T8" i="23"/>
  <c r="T435" i="39"/>
  <c r="T9" i="23" s="1"/>
  <c r="U193" i="14" s="1"/>
  <c r="U194" i="14" s="1"/>
  <c r="L8" i="23"/>
  <c r="L435" i="39"/>
  <c r="L9" i="23" s="1"/>
  <c r="D8" i="23"/>
  <c r="D435" i="39"/>
  <c r="D9" i="23" s="1"/>
  <c r="AG2" i="22"/>
  <c r="AG434" i="39"/>
  <c r="AG9" i="22" s="1"/>
  <c r="AC2" i="22"/>
  <c r="AC434" i="39"/>
  <c r="AC9" i="22" s="1"/>
  <c r="AA2" i="22"/>
  <c r="AA434" i="39"/>
  <c r="AA9" i="22" s="1"/>
  <c r="I434" i="39"/>
  <c r="I9" i="22" s="1"/>
  <c r="I2" i="22"/>
  <c r="AF2" i="17"/>
  <c r="AF9" i="17"/>
  <c r="AB2" i="17"/>
  <c r="AB9" i="17"/>
  <c r="X2" i="17"/>
  <c r="X9" i="17"/>
  <c r="H9" i="17"/>
  <c r="H2" i="17"/>
  <c r="AI8" i="23"/>
  <c r="AI435" i="39"/>
  <c r="AI9" i="23" s="1"/>
  <c r="AA8" i="23"/>
  <c r="AA435" i="39"/>
  <c r="AA9" i="23" s="1"/>
  <c r="S8" i="23"/>
  <c r="S435" i="39"/>
  <c r="S9" i="23" s="1"/>
  <c r="K8" i="23"/>
  <c r="K435" i="39"/>
  <c r="K9" i="23" s="1"/>
  <c r="C8" i="23"/>
  <c r="C435" i="39"/>
  <c r="C9" i="23" s="1"/>
  <c r="AI2" i="22"/>
  <c r="AI434" i="39"/>
  <c r="AI9" i="22" s="1"/>
  <c r="U2" i="22"/>
  <c r="U434" i="39"/>
  <c r="U9" i="22" s="1"/>
  <c r="Q434" i="39"/>
  <c r="Q9" i="22" s="1"/>
  <c r="Q2" i="22"/>
  <c r="AG2" i="17"/>
  <c r="AG9" i="17"/>
  <c r="AC2" i="17"/>
  <c r="AC9" i="17"/>
  <c r="Q2" i="17"/>
  <c r="Q9" i="17"/>
  <c r="O9" i="17"/>
  <c r="O2" i="17"/>
  <c r="I2" i="17"/>
  <c r="G2" i="17"/>
  <c r="AH8" i="23"/>
  <c r="AH435" i="39"/>
  <c r="AH9" i="23" s="1"/>
  <c r="Z8" i="23"/>
  <c r="Z435" i="39"/>
  <c r="Z9" i="23" s="1"/>
  <c r="R8" i="23"/>
  <c r="R435" i="39"/>
  <c r="R9" i="23" s="1"/>
  <c r="J8" i="23"/>
  <c r="J435" i="39"/>
  <c r="J9" i="23" s="1"/>
  <c r="AE2" i="22"/>
  <c r="AE434" i="39"/>
  <c r="AE9" i="22" s="1"/>
  <c r="O434" i="39"/>
  <c r="O9" i="22" s="1"/>
  <c r="O2" i="22"/>
  <c r="M434" i="39"/>
  <c r="M9" i="22" s="1"/>
  <c r="M2" i="22"/>
  <c r="K434" i="39"/>
  <c r="K9" i="22" s="1"/>
  <c r="K2" i="22"/>
  <c r="C434" i="39"/>
  <c r="C9" i="22" s="1"/>
  <c r="C2" i="22"/>
  <c r="AI2" i="17"/>
  <c r="AI9" i="17"/>
  <c r="AE2" i="17"/>
  <c r="AE9" i="17"/>
  <c r="W2" i="17"/>
  <c r="W9" i="17"/>
  <c r="U2" i="17"/>
  <c r="U9" i="17"/>
  <c r="M9" i="17"/>
  <c r="M2" i="17"/>
  <c r="K2" i="17"/>
  <c r="F2" i="17"/>
  <c r="AG8" i="23"/>
  <c r="AG435" i="39"/>
  <c r="AG9" i="23" s="1"/>
  <c r="Y8" i="23"/>
  <c r="Y435" i="39"/>
  <c r="Y9" i="23" s="1"/>
  <c r="Q8" i="23"/>
  <c r="Q435" i="39"/>
  <c r="Q9" i="23" s="1"/>
  <c r="I8" i="23"/>
  <c r="I435" i="39"/>
  <c r="I9" i="23" s="1"/>
  <c r="B435" i="39"/>
  <c r="B9" i="23" s="1"/>
  <c r="B2" i="23"/>
  <c r="Y2" i="22"/>
  <c r="Y434" i="39"/>
  <c r="Y9" i="22" s="1"/>
  <c r="W2" i="22"/>
  <c r="W434" i="39"/>
  <c r="W9" i="22" s="1"/>
  <c r="S2" i="22"/>
  <c r="S434" i="39"/>
  <c r="S9" i="22" s="1"/>
  <c r="G434" i="39"/>
  <c r="G9" i="22" s="1"/>
  <c r="G2" i="22"/>
  <c r="E434" i="39"/>
  <c r="E9" i="22" s="1"/>
  <c r="E2" i="22"/>
  <c r="Y2" i="17"/>
  <c r="Y9" i="17"/>
  <c r="AF8" i="23"/>
  <c r="AF435" i="39"/>
  <c r="AF9" i="23" s="1"/>
  <c r="X8" i="23"/>
  <c r="X435" i="39"/>
  <c r="X9" i="23" s="1"/>
  <c r="P8" i="23"/>
  <c r="P435" i="39"/>
  <c r="P9" i="23" s="1"/>
  <c r="H8" i="23"/>
  <c r="H435" i="39"/>
  <c r="H9" i="23" s="1"/>
  <c r="AH2" i="22"/>
  <c r="AH434" i="39"/>
  <c r="AH9" i="22" s="1"/>
  <c r="AB2" i="22"/>
  <c r="AB434" i="39"/>
  <c r="AB9" i="22" s="1"/>
  <c r="T2" i="22"/>
  <c r="T434" i="39"/>
  <c r="T9" i="22" s="1"/>
  <c r="R2" i="22"/>
  <c r="R434" i="39"/>
  <c r="R9" i="22" s="1"/>
  <c r="N434" i="39"/>
  <c r="N9" i="22" s="1"/>
  <c r="N2" i="22"/>
  <c r="AA2" i="17"/>
  <c r="AA9" i="17"/>
  <c r="S2" i="17"/>
  <c r="C9" i="17"/>
  <c r="C3" i="17"/>
  <c r="AE8" i="23"/>
  <c r="AE435" i="39"/>
  <c r="AE9" i="23" s="1"/>
  <c r="W8" i="23"/>
  <c r="W435" i="39"/>
  <c r="W9" i="23" s="1"/>
  <c r="O8" i="23"/>
  <c r="O435" i="39"/>
  <c r="O9" i="23" s="1"/>
  <c r="G8" i="23"/>
  <c r="G435" i="39"/>
  <c r="G9" i="23" s="1"/>
  <c r="AF2" i="22"/>
  <c r="AF434" i="39"/>
  <c r="AF9" i="22" s="1"/>
  <c r="AD2" i="22"/>
  <c r="AD434" i="39"/>
  <c r="AD9" i="22" s="1"/>
  <c r="H434" i="39"/>
  <c r="H9" i="22" s="1"/>
  <c r="H2" i="22"/>
  <c r="D434" i="39"/>
  <c r="D9" i="22" s="1"/>
  <c r="D2" i="22"/>
  <c r="B434" i="39"/>
  <c r="B9" i="22" s="1"/>
  <c r="B2" i="22"/>
  <c r="AH2" i="17"/>
  <c r="AH9" i="17"/>
  <c r="V2" i="17"/>
  <c r="V9" i="17"/>
  <c r="D9" i="17"/>
  <c r="D3" i="17"/>
  <c r="AD8" i="23"/>
  <c r="AD435" i="39"/>
  <c r="AD9" i="23" s="1"/>
  <c r="V8" i="23"/>
  <c r="V435" i="39"/>
  <c r="V9" i="23" s="1"/>
  <c r="N8" i="23"/>
  <c r="N435" i="39"/>
  <c r="N9" i="23" s="1"/>
  <c r="F8" i="23"/>
  <c r="F435" i="39"/>
  <c r="F9" i="23" s="1"/>
  <c r="B428" i="39"/>
  <c r="B9" i="16" s="1"/>
  <c r="B2" i="16"/>
  <c r="D191" i="39"/>
  <c r="D253" i="39" s="1"/>
  <c r="D265" i="39" s="1"/>
  <c r="B392" i="39"/>
  <c r="B6" i="19" s="1"/>
  <c r="C392" i="39"/>
  <c r="C6" i="19" s="1"/>
  <c r="D392" i="39"/>
  <c r="D6" i="19" s="1"/>
  <c r="E6" i="19"/>
  <c r="F6" i="19"/>
  <c r="G6" i="19"/>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D189" i="39"/>
  <c r="C288" i="39" s="1"/>
  <c r="C298" i="39" s="1"/>
  <c r="B418" i="39"/>
  <c r="C418" i="39"/>
  <c r="D418" i="39"/>
  <c r="E418" i="39"/>
  <c r="F418" i="39"/>
  <c r="G418" i="39"/>
  <c r="H418" i="39"/>
  <c r="I418" i="39"/>
  <c r="J418" i="39"/>
  <c r="K418" i="39"/>
  <c r="L418" i="39"/>
  <c r="M418" i="39"/>
  <c r="N418" i="39"/>
  <c r="O418" i="39"/>
  <c r="P418" i="39"/>
  <c r="Q418" i="39"/>
  <c r="R418" i="39"/>
  <c r="S418" i="39"/>
  <c r="T418" i="39"/>
  <c r="U418" i="39"/>
  <c r="V418" i="39"/>
  <c r="W418" i="39"/>
  <c r="X418" i="39"/>
  <c r="Y418" i="39"/>
  <c r="Z418" i="39"/>
  <c r="AA418" i="39"/>
  <c r="AB418" i="39"/>
  <c r="AC418" i="39"/>
  <c r="AD418" i="39"/>
  <c r="AE418" i="39"/>
  <c r="AF418" i="39"/>
  <c r="AG418" i="39"/>
  <c r="AH418" i="39"/>
  <c r="AI418" i="39"/>
  <c r="D192" i="39"/>
  <c r="D196" i="39" s="1"/>
  <c r="B353" i="39"/>
  <c r="B340" i="39"/>
  <c r="B2" i="19" s="1"/>
  <c r="B379" i="39"/>
  <c r="B366" i="39"/>
  <c r="B4" i="19" s="1"/>
  <c r="C366" i="39"/>
  <c r="C4" i="19" s="1"/>
  <c r="C340" i="39"/>
  <c r="C2" i="19" s="1"/>
  <c r="C379" i="39"/>
  <c r="C5" i="19" s="1"/>
  <c r="D366" i="39"/>
  <c r="D4" i="19" s="1"/>
  <c r="D340" i="39"/>
  <c r="D2" i="19" s="1"/>
  <c r="D379" i="39"/>
  <c r="D5" i="19" s="1"/>
  <c r="E379" i="39"/>
  <c r="E5" i="19" s="1"/>
  <c r="E340" i="39"/>
  <c r="E2" i="19" s="1"/>
  <c r="E366" i="39"/>
  <c r="E4" i="19" s="1"/>
  <c r="F366" i="39"/>
  <c r="F4" i="19" s="1"/>
  <c r="F379" i="39"/>
  <c r="F5" i="19" s="1"/>
  <c r="F340" i="39"/>
  <c r="F2" i="19" s="1"/>
  <c r="G379" i="39"/>
  <c r="G5" i="19" s="1"/>
  <c r="G340" i="39"/>
  <c r="G2" i="19" s="1"/>
  <c r="G366" i="39"/>
  <c r="G4" i="19" s="1"/>
  <c r="H366" i="39"/>
  <c r="H4" i="19" s="1"/>
  <c r="H379" i="39"/>
  <c r="H5" i="19" s="1"/>
  <c r="H340" i="39"/>
  <c r="H2" i="19" s="1"/>
  <c r="I379" i="39"/>
  <c r="I5" i="19" s="1"/>
  <c r="I366" i="39"/>
  <c r="I4" i="19" s="1"/>
  <c r="I340" i="39"/>
  <c r="I2" i="19" s="1"/>
  <c r="J340" i="39"/>
  <c r="J2" i="19" s="1"/>
  <c r="J366" i="39"/>
  <c r="J4" i="19" s="1"/>
  <c r="J379" i="39"/>
  <c r="J5" i="19" s="1"/>
  <c r="K379" i="39"/>
  <c r="K5" i="19" s="1"/>
  <c r="K340" i="39"/>
  <c r="K2" i="19" s="1"/>
  <c r="K366" i="39"/>
  <c r="K4" i="19" s="1"/>
  <c r="L340" i="39"/>
  <c r="L2" i="19" s="1"/>
  <c r="L379" i="39"/>
  <c r="L5" i="19" s="1"/>
  <c r="L366" i="39"/>
  <c r="L4" i="19" s="1"/>
  <c r="M379" i="39"/>
  <c r="M5" i="19" s="1"/>
  <c r="M366" i="39"/>
  <c r="M4" i="19" s="1"/>
  <c r="M340" i="39"/>
  <c r="M2" i="19" s="1"/>
  <c r="N340" i="39"/>
  <c r="N2" i="19" s="1"/>
  <c r="N379" i="39"/>
  <c r="N5" i="19" s="1"/>
  <c r="N366" i="39"/>
  <c r="N4" i="19" s="1"/>
  <c r="F353" i="39"/>
  <c r="F3" i="19" s="1"/>
  <c r="N353" i="39"/>
  <c r="N3" i="19" s="1"/>
  <c r="O379" i="39"/>
  <c r="O5" i="19" s="1"/>
  <c r="G353" i="39"/>
  <c r="G3" i="19" s="1"/>
  <c r="O366" i="39"/>
  <c r="O4" i="19" s="1"/>
  <c r="H353" i="39"/>
  <c r="H3" i="19" s="1"/>
  <c r="I353" i="39"/>
  <c r="I3" i="19" s="1"/>
  <c r="O353" i="39"/>
  <c r="O3" i="19" s="1"/>
  <c r="J353" i="39"/>
  <c r="J3" i="19" s="1"/>
  <c r="C353" i="39"/>
  <c r="C3" i="19" s="1"/>
  <c r="K353" i="39"/>
  <c r="K3" i="19" s="1"/>
  <c r="D353" i="39"/>
  <c r="D3" i="19" s="1"/>
  <c r="L353" i="39"/>
  <c r="L3" i="19" s="1"/>
  <c r="E353" i="39"/>
  <c r="E3" i="19" s="1"/>
  <c r="M353" i="39"/>
  <c r="M3" i="19" s="1"/>
  <c r="O340" i="39"/>
  <c r="O2" i="19" s="1"/>
  <c r="P366" i="39"/>
  <c r="P4" i="19" s="1"/>
  <c r="P340" i="39"/>
  <c r="P2" i="19" s="1"/>
  <c r="P379" i="39"/>
  <c r="P5" i="19" s="1"/>
  <c r="P353" i="39"/>
  <c r="P3" i="19" s="1"/>
  <c r="Q366" i="39"/>
  <c r="Q4" i="19" s="1"/>
  <c r="Q353" i="39"/>
  <c r="Q3" i="19" s="1"/>
  <c r="Q340" i="39"/>
  <c r="Q2" i="19" s="1"/>
  <c r="Q379" i="39"/>
  <c r="Q5" i="19" s="1"/>
  <c r="R353" i="39"/>
  <c r="R3" i="19" s="1"/>
  <c r="R340" i="39"/>
  <c r="R2" i="19" s="1"/>
  <c r="R366" i="39"/>
  <c r="R4" i="19" s="1"/>
  <c r="R379" i="39"/>
  <c r="R5" i="19" s="1"/>
  <c r="S353" i="39"/>
  <c r="S3" i="19" s="1"/>
  <c r="S366" i="39"/>
  <c r="S4" i="19" s="1"/>
  <c r="S340" i="39"/>
  <c r="S2" i="19" s="1"/>
  <c r="S379" i="39"/>
  <c r="S5" i="19" s="1"/>
  <c r="T366" i="39"/>
  <c r="T4" i="19" s="1"/>
  <c r="T379" i="39"/>
  <c r="T5" i="19" s="1"/>
  <c r="T353" i="39"/>
  <c r="T3" i="19" s="1"/>
  <c r="T340" i="39"/>
  <c r="T2" i="19" s="1"/>
  <c r="U353" i="39"/>
  <c r="U3" i="19" s="1"/>
  <c r="U379" i="39"/>
  <c r="U5" i="19" s="1"/>
  <c r="U340" i="39"/>
  <c r="U2" i="19" s="1"/>
  <c r="U366" i="39"/>
  <c r="U4" i="19" s="1"/>
  <c r="V379" i="39"/>
  <c r="V5" i="19" s="1"/>
  <c r="V366" i="39"/>
  <c r="V4" i="19" s="1"/>
  <c r="V353" i="39"/>
  <c r="V3" i="19" s="1"/>
  <c r="V340" i="39"/>
  <c r="V2" i="19" s="1"/>
  <c r="W366" i="39"/>
  <c r="W4" i="19" s="1"/>
  <c r="W353" i="39"/>
  <c r="W3" i="19" s="1"/>
  <c r="W379" i="39"/>
  <c r="W5" i="19" s="1"/>
  <c r="W340" i="39"/>
  <c r="W2" i="19" s="1"/>
  <c r="X340" i="39"/>
  <c r="X2" i="19" s="1"/>
  <c r="X366" i="39"/>
  <c r="X4" i="19" s="1"/>
  <c r="X353" i="39"/>
  <c r="X3" i="19" s="1"/>
  <c r="X379" i="39"/>
  <c r="X5" i="19" s="1"/>
  <c r="Y379" i="39"/>
  <c r="Y5" i="19" s="1"/>
  <c r="Y340" i="39"/>
  <c r="Y2" i="19" s="1"/>
  <c r="Y353" i="39"/>
  <c r="Y3" i="19" s="1"/>
  <c r="Y366" i="39"/>
  <c r="Y4" i="19" s="1"/>
  <c r="Z379" i="39"/>
  <c r="Z5" i="19" s="1"/>
  <c r="Z353" i="39"/>
  <c r="Z3" i="19" s="1"/>
  <c r="Z340" i="39"/>
  <c r="Z2" i="19" s="1"/>
  <c r="Z366" i="39"/>
  <c r="Z4" i="19" s="1"/>
  <c r="AA366" i="39"/>
  <c r="AA4" i="19" s="1"/>
  <c r="AA379" i="39"/>
  <c r="AA5" i="19" s="1"/>
  <c r="AA353" i="39"/>
  <c r="AA3" i="19" s="1"/>
  <c r="AA340" i="39"/>
  <c r="AA2" i="19" s="1"/>
  <c r="AB353" i="39"/>
  <c r="AB3" i="19" s="1"/>
  <c r="AB340" i="39"/>
  <c r="AB2" i="19" s="1"/>
  <c r="AB366" i="39"/>
  <c r="AB4" i="19" s="1"/>
  <c r="AB379" i="39"/>
  <c r="AB5" i="19" s="1"/>
  <c r="AC379" i="39"/>
  <c r="AC5" i="19" s="1"/>
  <c r="AC366" i="39"/>
  <c r="AC4" i="19" s="1"/>
  <c r="AC353" i="39"/>
  <c r="AC3" i="19" s="1"/>
  <c r="AC340" i="39"/>
  <c r="AC2" i="19" s="1"/>
  <c r="AD366" i="39"/>
  <c r="AD4" i="19" s="1"/>
  <c r="AD340" i="39"/>
  <c r="AD2" i="19" s="1"/>
  <c r="AD379" i="39"/>
  <c r="AD5" i="19" s="1"/>
  <c r="AD353" i="39"/>
  <c r="AD3" i="19" s="1"/>
  <c r="AE340" i="39"/>
  <c r="AE2" i="19" s="1"/>
  <c r="AE379" i="39"/>
  <c r="AE5" i="19" s="1"/>
  <c r="AE366" i="39"/>
  <c r="AE4" i="19" s="1"/>
  <c r="AE353" i="39"/>
  <c r="AE3" i="19" s="1"/>
  <c r="AF340" i="39"/>
  <c r="AF2" i="19" s="1"/>
  <c r="AF379" i="39"/>
  <c r="AF5" i="19" s="1"/>
  <c r="AF353" i="39"/>
  <c r="AF3" i="19" s="1"/>
  <c r="AF366" i="39"/>
  <c r="AF4" i="19" s="1"/>
  <c r="AG379" i="39"/>
  <c r="AG5" i="19" s="1"/>
  <c r="AG340" i="39"/>
  <c r="AG2" i="19" s="1"/>
  <c r="AG366" i="39"/>
  <c r="AG4" i="19" s="1"/>
  <c r="AG353" i="39"/>
  <c r="AG3" i="19" s="1"/>
  <c r="AH366" i="39"/>
  <c r="AH4" i="19" s="1"/>
  <c r="AH340" i="39"/>
  <c r="AH2" i="19" s="1"/>
  <c r="AH353" i="39"/>
  <c r="AH3" i="19" s="1"/>
  <c r="AH379" i="39"/>
  <c r="AH5" i="19" s="1"/>
  <c r="AI353" i="39"/>
  <c r="AI3" i="19" s="1"/>
  <c r="AI340" i="39"/>
  <c r="AI2" i="19" s="1"/>
  <c r="AI379" i="39"/>
  <c r="AI5" i="19" s="1"/>
  <c r="AI366" i="39"/>
  <c r="AI4" i="19" s="1"/>
  <c r="V2" i="22"/>
  <c r="V434" i="39"/>
  <c r="V9" i="22" s="1"/>
  <c r="J434" i="39"/>
  <c r="J9" i="22" s="1"/>
  <c r="J2" i="22"/>
  <c r="F434" i="39"/>
  <c r="F9" i="22" s="1"/>
  <c r="F2" i="22"/>
  <c r="AD2" i="17"/>
  <c r="AD9" i="17"/>
  <c r="Z2" i="17"/>
  <c r="Z9" i="17"/>
  <c r="T2" i="17"/>
  <c r="T9" i="17"/>
  <c r="R2" i="17"/>
  <c r="R9" i="17"/>
  <c r="P9" i="17"/>
  <c r="P2" i="17"/>
  <c r="J9" i="17"/>
  <c r="J2" i="17"/>
  <c r="B9" i="17"/>
  <c r="B2" i="17"/>
  <c r="AC8" i="23"/>
  <c r="AC435" i="39"/>
  <c r="AC9" i="23" s="1"/>
  <c r="U8" i="23"/>
  <c r="U435" i="39"/>
  <c r="U9" i="23" s="1"/>
  <c r="M8" i="23"/>
  <c r="M435" i="39"/>
  <c r="M9" i="23" s="1"/>
  <c r="E8" i="23"/>
  <c r="E435" i="39"/>
  <c r="E9" i="23" s="1"/>
  <c r="B5" i="15"/>
  <c r="B9" i="15"/>
  <c r="C5" i="15"/>
  <c r="C9" i="15"/>
  <c r="AI5" i="15"/>
  <c r="AI9" i="15"/>
  <c r="D263" i="39"/>
  <c r="I263" i="39" s="1"/>
  <c r="J263" i="39" s="1"/>
  <c r="D264" i="39"/>
  <c r="P156" i="39"/>
  <c r="C196" i="39"/>
  <c r="L253" i="39"/>
  <c r="L196" i="39"/>
  <c r="AI193" i="14" l="1"/>
  <c r="AI194" i="14" s="1"/>
  <c r="S193" i="14"/>
  <c r="S194" i="14" s="1"/>
  <c r="C5" i="18"/>
  <c r="D378" i="39"/>
  <c r="W193" i="14"/>
  <c r="W194" i="14" s="1"/>
  <c r="AC193" i="14"/>
  <c r="AC194" i="14" s="1"/>
  <c r="Q193" i="14"/>
  <c r="Q194" i="14" s="1"/>
  <c r="B5" i="19"/>
  <c r="P455" i="39"/>
  <c r="B3" i="19"/>
  <c r="P454" i="39"/>
  <c r="H193" i="14"/>
  <c r="H194" i="14" s="1"/>
  <c r="Y193" i="14"/>
  <c r="Y194" i="14" s="1"/>
  <c r="Z177" i="14"/>
  <c r="Z178" i="14" s="1"/>
  <c r="K193" i="14"/>
  <c r="K194" i="14" s="1"/>
  <c r="D177" i="14"/>
  <c r="D178" i="14" s="1"/>
  <c r="T177" i="14"/>
  <c r="T178" i="14" s="1"/>
  <c r="X189" i="14"/>
  <c r="X190" i="14" s="1"/>
  <c r="P193" i="14"/>
  <c r="P194" i="14" s="1"/>
  <c r="AA193" i="14"/>
  <c r="AA194" i="14" s="1"/>
  <c r="P177" i="14"/>
  <c r="P178" i="14" s="1"/>
  <c r="R189" i="14"/>
  <c r="R190" i="14" s="1"/>
  <c r="AB193" i="14"/>
  <c r="AB194" i="14" s="1"/>
  <c r="X193" i="14"/>
  <c r="X194" i="14" s="1"/>
  <c r="AB177" i="14"/>
  <c r="AB178" i="14" s="1"/>
  <c r="AC189" i="14"/>
  <c r="AC190" i="14" s="1"/>
  <c r="V177" i="14"/>
  <c r="V178" i="14" s="1"/>
  <c r="D193" i="14"/>
  <c r="D194" i="14" s="1"/>
  <c r="M193" i="14"/>
  <c r="M194" i="14" s="1"/>
  <c r="O177" i="14"/>
  <c r="O178" i="14" s="1"/>
  <c r="AD193" i="14"/>
  <c r="AD194" i="14" s="1"/>
  <c r="U189" i="14"/>
  <c r="U190" i="14" s="1"/>
  <c r="H189" i="14"/>
  <c r="H190" i="14" s="1"/>
  <c r="D181" i="14"/>
  <c r="D182" i="14" s="1"/>
  <c r="C193" i="14"/>
  <c r="C194" i="14" s="1"/>
  <c r="Z193" i="14"/>
  <c r="Z194" i="14" s="1"/>
  <c r="C177" i="14"/>
  <c r="C178" i="14" s="1"/>
  <c r="AE193" i="14"/>
  <c r="AE194" i="14" s="1"/>
  <c r="AF189" i="14"/>
  <c r="AF190" i="14" s="1"/>
  <c r="Y189" i="14"/>
  <c r="Y190" i="14" s="1"/>
  <c r="I193" i="14"/>
  <c r="I194" i="14" s="1"/>
  <c r="M189" i="14"/>
  <c r="M190" i="14" s="1"/>
  <c r="AG189" i="14"/>
  <c r="AG190" i="14" s="1"/>
  <c r="AH193" i="14"/>
  <c r="AH194" i="14" s="1"/>
  <c r="AH177" i="14"/>
  <c r="AH178" i="14" s="1"/>
  <c r="N193" i="14"/>
  <c r="N194" i="14" s="1"/>
  <c r="AA177" i="14"/>
  <c r="AA178" i="14" s="1"/>
  <c r="W189" i="14"/>
  <c r="W190" i="14" s="1"/>
  <c r="O189" i="14"/>
  <c r="O190" i="14" s="1"/>
  <c r="G177" i="14"/>
  <c r="G178" i="14" s="1"/>
  <c r="L189" i="14"/>
  <c r="L190" i="14" s="1"/>
  <c r="Q177" i="14"/>
  <c r="Q178" i="14" s="1"/>
  <c r="I189" i="14"/>
  <c r="I190" i="14" s="1"/>
  <c r="R193" i="14"/>
  <c r="R194" i="14" s="1"/>
  <c r="G193" i="14"/>
  <c r="G194" i="14" s="1"/>
  <c r="E177" i="14"/>
  <c r="E178" i="14" s="1"/>
  <c r="T193" i="14"/>
  <c r="T194" i="14" s="1"/>
  <c r="Y177" i="14"/>
  <c r="Y178" i="14" s="1"/>
  <c r="AB189" i="14"/>
  <c r="AB190" i="14" s="1"/>
  <c r="O193" i="14"/>
  <c r="O194" i="14" s="1"/>
  <c r="AG193" i="14"/>
  <c r="AG194" i="14" s="1"/>
  <c r="V193" i="14"/>
  <c r="V194" i="14" s="1"/>
  <c r="AF193" i="14"/>
  <c r="AF194" i="14" s="1"/>
  <c r="AI189" i="14"/>
  <c r="AI190" i="14" s="1"/>
  <c r="J193" i="14"/>
  <c r="J194" i="14" s="1"/>
  <c r="AC177" i="14"/>
  <c r="AC178" i="14" s="1"/>
  <c r="AD189" i="14"/>
  <c r="AD190" i="14" s="1"/>
  <c r="E193" i="14"/>
  <c r="E194" i="14" s="1"/>
  <c r="F193" i="14"/>
  <c r="F194" i="14" s="1"/>
  <c r="G189" i="14"/>
  <c r="G190" i="14" s="1"/>
  <c r="F189" i="14"/>
  <c r="F190" i="14" s="1"/>
  <c r="AF177" i="14"/>
  <c r="AF178" i="14" s="1"/>
  <c r="AJ193" i="14"/>
  <c r="AJ194" i="14" s="1"/>
  <c r="AG177" i="14"/>
  <c r="AG178" i="14" s="1"/>
  <c r="AH189" i="14"/>
  <c r="AH190" i="14" s="1"/>
  <c r="K189" i="14"/>
  <c r="K190" i="14" s="1"/>
  <c r="AD177" i="14"/>
  <c r="AD178" i="14" s="1"/>
  <c r="L193" i="14"/>
  <c r="L194" i="14" s="1"/>
  <c r="AB8" i="19"/>
  <c r="AB431" i="39"/>
  <c r="AB9" i="19" s="1"/>
  <c r="T8" i="19"/>
  <c r="T431" i="39"/>
  <c r="T9" i="19" s="1"/>
  <c r="L8" i="19"/>
  <c r="L431" i="39"/>
  <c r="L9" i="19" s="1"/>
  <c r="D8" i="19"/>
  <c r="D431" i="39"/>
  <c r="D9" i="19" s="1"/>
  <c r="C189" i="14"/>
  <c r="C190" i="14" s="1"/>
  <c r="H177" i="14"/>
  <c r="H178" i="14" s="1"/>
  <c r="U177" i="14"/>
  <c r="U178" i="14" s="1"/>
  <c r="AI8" i="19"/>
  <c r="AI431" i="39"/>
  <c r="AI9" i="19" s="1"/>
  <c r="AA8" i="19"/>
  <c r="AA431" i="39"/>
  <c r="AA9" i="19" s="1"/>
  <c r="S8" i="19"/>
  <c r="S431" i="39"/>
  <c r="S9" i="19" s="1"/>
  <c r="K8" i="19"/>
  <c r="K431" i="39"/>
  <c r="K9" i="19" s="1"/>
  <c r="C8" i="19"/>
  <c r="C431" i="39"/>
  <c r="C9" i="19" s="1"/>
  <c r="AJ189" i="14"/>
  <c r="AJ190" i="14" s="1"/>
  <c r="K177" i="14"/>
  <c r="K178" i="14" s="1"/>
  <c r="AH8" i="19"/>
  <c r="AH431" i="39"/>
  <c r="AH9" i="19" s="1"/>
  <c r="Z8" i="19"/>
  <c r="Z431" i="39"/>
  <c r="Z9" i="19" s="1"/>
  <c r="R8" i="19"/>
  <c r="R431" i="39"/>
  <c r="R9" i="19" s="1"/>
  <c r="J8" i="19"/>
  <c r="J431" i="39"/>
  <c r="J9" i="19" s="1"/>
  <c r="B431" i="39"/>
  <c r="B9" i="19" s="1"/>
  <c r="B8" i="19"/>
  <c r="E189" i="14"/>
  <c r="E190" i="14" s="1"/>
  <c r="Z189" i="14"/>
  <c r="Z190" i="14" s="1"/>
  <c r="X177" i="14"/>
  <c r="X178" i="14" s="1"/>
  <c r="J177" i="14"/>
  <c r="J178" i="14" s="1"/>
  <c r="F177" i="14"/>
  <c r="F178" i="14" s="1"/>
  <c r="AG8" i="19"/>
  <c r="AG431" i="39"/>
  <c r="AG9" i="19" s="1"/>
  <c r="Y8" i="19"/>
  <c r="Y431" i="39"/>
  <c r="Y9" i="19" s="1"/>
  <c r="Q8" i="19"/>
  <c r="Q431" i="39"/>
  <c r="Q9" i="19" s="1"/>
  <c r="I8" i="19"/>
  <c r="I431" i="39"/>
  <c r="I9" i="19" s="1"/>
  <c r="L177" i="14"/>
  <c r="L178" i="14" s="1"/>
  <c r="N189" i="14"/>
  <c r="N190" i="14" s="1"/>
  <c r="Q189" i="14"/>
  <c r="Q190" i="14" s="1"/>
  <c r="AF8" i="19"/>
  <c r="AF431" i="39"/>
  <c r="AF9" i="19" s="1"/>
  <c r="X8" i="19"/>
  <c r="X431" i="39"/>
  <c r="X9" i="19" s="1"/>
  <c r="P8" i="19"/>
  <c r="P431" i="39"/>
  <c r="P9" i="19" s="1"/>
  <c r="H8" i="19"/>
  <c r="H431" i="39"/>
  <c r="H9" i="19" s="1"/>
  <c r="M177" i="14"/>
  <c r="M178" i="14" s="1"/>
  <c r="AE177" i="14"/>
  <c r="AE178" i="14" s="1"/>
  <c r="AE8" i="19"/>
  <c r="AE431" i="39"/>
  <c r="AE9" i="19" s="1"/>
  <c r="W8" i="19"/>
  <c r="W431" i="39"/>
  <c r="W9" i="19" s="1"/>
  <c r="O8" i="19"/>
  <c r="O431" i="39"/>
  <c r="O9" i="19" s="1"/>
  <c r="G8" i="19"/>
  <c r="G431" i="39"/>
  <c r="G9" i="19" s="1"/>
  <c r="W177" i="14"/>
  <c r="W178" i="14" s="1"/>
  <c r="N177" i="14"/>
  <c r="N178" i="14" s="1"/>
  <c r="P189" i="14"/>
  <c r="P190" i="14" s="1"/>
  <c r="I177" i="14"/>
  <c r="I178" i="14" s="1"/>
  <c r="J189" i="14"/>
  <c r="J190" i="14" s="1"/>
  <c r="AD8" i="19"/>
  <c r="AD431" i="39"/>
  <c r="AD9" i="19" s="1"/>
  <c r="V8" i="19"/>
  <c r="V431" i="39"/>
  <c r="V9" i="19" s="1"/>
  <c r="N8" i="19"/>
  <c r="N431" i="39"/>
  <c r="N9" i="19" s="1"/>
  <c r="F8" i="19"/>
  <c r="F431" i="39"/>
  <c r="F9" i="19" s="1"/>
  <c r="T189" i="14"/>
  <c r="T190" i="14" s="1"/>
  <c r="AJ177" i="14"/>
  <c r="AJ178" i="14" s="1"/>
  <c r="S177" i="14"/>
  <c r="S178" i="14" s="1"/>
  <c r="AC8" i="19"/>
  <c r="AC431" i="39"/>
  <c r="AC9" i="19" s="1"/>
  <c r="U8" i="19"/>
  <c r="U431" i="39"/>
  <c r="U9" i="19" s="1"/>
  <c r="M8" i="19"/>
  <c r="M431" i="39"/>
  <c r="M9" i="19" s="1"/>
  <c r="E8" i="19"/>
  <c r="E431" i="39"/>
  <c r="E9" i="19" s="1"/>
  <c r="C173" i="14"/>
  <c r="C174" i="14" s="1"/>
  <c r="AI177" i="14"/>
  <c r="AI178" i="14" s="1"/>
  <c r="AE189" i="14"/>
  <c r="AE190" i="14" s="1"/>
  <c r="S189" i="14"/>
  <c r="S190" i="14" s="1"/>
  <c r="D189" i="14"/>
  <c r="D190" i="14" s="1"/>
  <c r="R177" i="14"/>
  <c r="R178" i="14" s="1"/>
  <c r="V189" i="14"/>
  <c r="V190" i="14" s="1"/>
  <c r="AA189" i="14"/>
  <c r="AA190" i="14" s="1"/>
  <c r="D169" i="14"/>
  <c r="D170" i="14" s="1"/>
  <c r="C169" i="14"/>
  <c r="C170" i="14" s="1"/>
  <c r="AJ169" i="14"/>
  <c r="AJ170" i="14" s="1"/>
  <c r="I264" i="39"/>
  <c r="I265" i="39" s="1"/>
  <c r="J265" i="39" s="1"/>
  <c r="AI185" i="14" l="1"/>
  <c r="AI186" i="14" s="1"/>
  <c r="E378" i="39"/>
  <c r="D5" i="18"/>
  <c r="D430" i="39"/>
  <c r="D9" i="18" s="1"/>
  <c r="E185" i="14"/>
  <c r="E186" i="14" s="1"/>
  <c r="U185" i="14"/>
  <c r="U186" i="14" s="1"/>
  <c r="S185" i="14"/>
  <c r="S186" i="14" s="1"/>
  <c r="AA185" i="14"/>
  <c r="AA186" i="14" s="1"/>
  <c r="Y185" i="14"/>
  <c r="Y186" i="14" s="1"/>
  <c r="C185" i="14"/>
  <c r="C186" i="14" s="1"/>
  <c r="AF185" i="14"/>
  <c r="AF186" i="14" s="1"/>
  <c r="Q185" i="14"/>
  <c r="Q186" i="14" s="1"/>
  <c r="C165" i="14"/>
  <c r="C166" i="14" s="1"/>
  <c r="J185" i="14"/>
  <c r="J186" i="14" s="1"/>
  <c r="AG185" i="14"/>
  <c r="AG186" i="14" s="1"/>
  <c r="Z185" i="14"/>
  <c r="Z186" i="14" s="1"/>
  <c r="AC185" i="14"/>
  <c r="AC186" i="14" s="1"/>
  <c r="K185" i="14"/>
  <c r="K186" i="14" s="1"/>
  <c r="I185" i="14"/>
  <c r="I186" i="14" s="1"/>
  <c r="AB185" i="14"/>
  <c r="AB186" i="14" s="1"/>
  <c r="H185" i="14"/>
  <c r="H186" i="14" s="1"/>
  <c r="M185" i="14"/>
  <c r="M186" i="14" s="1"/>
  <c r="G185" i="14"/>
  <c r="G186" i="14" s="1"/>
  <c r="AH185" i="14"/>
  <c r="AH186" i="14" s="1"/>
  <c r="O185" i="14"/>
  <c r="O186" i="14" s="1"/>
  <c r="T185" i="14"/>
  <c r="T186" i="14" s="1"/>
  <c r="W185" i="14"/>
  <c r="W186" i="14" s="1"/>
  <c r="F185" i="14"/>
  <c r="F186" i="14" s="1"/>
  <c r="AD185" i="14"/>
  <c r="AD186" i="14" s="1"/>
  <c r="AE185" i="14"/>
  <c r="AE186" i="14" s="1"/>
  <c r="N185" i="14"/>
  <c r="N186" i="14" s="1"/>
  <c r="P185" i="14"/>
  <c r="P186" i="14" s="1"/>
  <c r="D185" i="14"/>
  <c r="D186" i="14" s="1"/>
  <c r="AJ185" i="14"/>
  <c r="AJ186" i="14" s="1"/>
  <c r="V185" i="14"/>
  <c r="V186" i="14" s="1"/>
  <c r="X185" i="14"/>
  <c r="X186" i="14" s="1"/>
  <c r="R185" i="14"/>
  <c r="R186" i="14" s="1"/>
  <c r="L185" i="14"/>
  <c r="L186" i="14" s="1"/>
  <c r="J264" i="39"/>
  <c r="E168" i="30"/>
  <c r="E181" i="14" l="1"/>
  <c r="E182" i="14" s="1"/>
  <c r="F378" i="39"/>
  <c r="E5" i="18"/>
  <c r="E430" i="39"/>
  <c r="E9" i="18" s="1"/>
  <c r="F168" i="30"/>
  <c r="D349" i="39"/>
  <c r="D3" i="15" s="1"/>
  <c r="D388" i="39"/>
  <c r="D6" i="15" s="1"/>
  <c r="D336" i="39"/>
  <c r="D2" i="15" s="1"/>
  <c r="D414" i="39"/>
  <c r="D8" i="15" s="1"/>
  <c r="D375" i="39"/>
  <c r="D5" i="15" s="1"/>
  <c r="D362" i="39"/>
  <c r="D4" i="15" s="1"/>
  <c r="F181" i="14" l="1"/>
  <c r="F182" i="14" s="1"/>
  <c r="F5" i="18"/>
  <c r="G378" i="39"/>
  <c r="F430" i="39"/>
  <c r="F9" i="18" s="1"/>
  <c r="D427" i="39"/>
  <c r="D9" i="15" s="1"/>
  <c r="E169" i="14" s="1"/>
  <c r="E170" i="14" s="1"/>
  <c r="G168" i="30"/>
  <c r="E6" i="15"/>
  <c r="E336" i="39"/>
  <c r="E2" i="15" s="1"/>
  <c r="E349" i="39"/>
  <c r="E3" i="15" s="1"/>
  <c r="E414" i="39"/>
  <c r="E8" i="15" s="1"/>
  <c r="E375" i="39"/>
  <c r="E5" i="15" s="1"/>
  <c r="E362" i="39"/>
  <c r="E4" i="15" s="1"/>
  <c r="H378" i="39" l="1"/>
  <c r="G5" i="18"/>
  <c r="G430" i="39"/>
  <c r="G9" i="18" s="1"/>
  <c r="G181" i="14"/>
  <c r="G182" i="14" s="1"/>
  <c r="E427" i="39"/>
  <c r="E9" i="15" s="1"/>
  <c r="F169" i="14" s="1"/>
  <c r="F170" i="14" s="1"/>
  <c r="H168" i="30"/>
  <c r="F414" i="39"/>
  <c r="F8" i="15" s="1"/>
  <c r="F362" i="39"/>
  <c r="F4" i="15" s="1"/>
  <c r="F349" i="39"/>
  <c r="F3" i="15" s="1"/>
  <c r="F6" i="15"/>
  <c r="F336" i="39"/>
  <c r="F2" i="15" s="1"/>
  <c r="F375" i="39"/>
  <c r="F5" i="15" s="1"/>
  <c r="H181" i="14" l="1"/>
  <c r="H182" i="14" s="1"/>
  <c r="H5" i="18"/>
  <c r="I378" i="39"/>
  <c r="H430" i="39"/>
  <c r="H9" i="18" s="1"/>
  <c r="F427" i="39"/>
  <c r="F9" i="15" s="1"/>
  <c r="I168" i="30"/>
  <c r="G414" i="39"/>
  <c r="G8" i="15" s="1"/>
  <c r="G349" i="39"/>
  <c r="G3" i="15" s="1"/>
  <c r="G6" i="15"/>
  <c r="G336" i="39"/>
  <c r="G2" i="15" s="1"/>
  <c r="G375" i="39"/>
  <c r="G5" i="15" s="1"/>
  <c r="G362" i="39"/>
  <c r="G4" i="15" s="1"/>
  <c r="J378" i="39" l="1"/>
  <c r="I5" i="18"/>
  <c r="I430" i="39"/>
  <c r="I9" i="18" s="1"/>
  <c r="I181" i="14"/>
  <c r="I182" i="14" s="1"/>
  <c r="G169" i="14"/>
  <c r="G170" i="14" s="1"/>
  <c r="G427" i="39"/>
  <c r="G9" i="15" s="1"/>
  <c r="H169" i="14" s="1"/>
  <c r="H170" i="14" s="1"/>
  <c r="J168" i="30"/>
  <c r="H375" i="39"/>
  <c r="H5" i="15" s="1"/>
  <c r="H362" i="39"/>
  <c r="H4" i="15" s="1"/>
  <c r="H349" i="39"/>
  <c r="H3" i="15" s="1"/>
  <c r="H414" i="39"/>
  <c r="H8" i="15" s="1"/>
  <c r="H6" i="15"/>
  <c r="H336" i="39"/>
  <c r="H2" i="15" s="1"/>
  <c r="J181" i="14" l="1"/>
  <c r="J182" i="14" s="1"/>
  <c r="K378" i="39"/>
  <c r="J5" i="18"/>
  <c r="J430" i="39"/>
  <c r="J9" i="18" s="1"/>
  <c r="H427" i="39"/>
  <c r="H9" i="15" s="1"/>
  <c r="K168" i="30"/>
  <c r="I375" i="39"/>
  <c r="I5" i="15" s="1"/>
  <c r="I362" i="39"/>
  <c r="I4" i="15" s="1"/>
  <c r="I349" i="39"/>
  <c r="I3" i="15" s="1"/>
  <c r="I336" i="39"/>
  <c r="I2" i="15" s="1"/>
  <c r="I414" i="39"/>
  <c r="I8" i="15" s="1"/>
  <c r="I6" i="15"/>
  <c r="K181" i="14" l="1"/>
  <c r="K182" i="14" s="1"/>
  <c r="K5" i="18"/>
  <c r="L378" i="39"/>
  <c r="K430" i="39"/>
  <c r="K9" i="18" s="1"/>
  <c r="I169" i="14"/>
  <c r="I170" i="14" s="1"/>
  <c r="I427" i="39"/>
  <c r="I9" i="15" s="1"/>
  <c r="J169" i="14" s="1"/>
  <c r="J170" i="14" s="1"/>
  <c r="L168" i="30"/>
  <c r="J6" i="15"/>
  <c r="J336" i="39"/>
  <c r="J2" i="15" s="1"/>
  <c r="J375" i="39"/>
  <c r="J5" i="15" s="1"/>
  <c r="J362" i="39"/>
  <c r="J4" i="15" s="1"/>
  <c r="J414" i="39"/>
  <c r="J8" i="15" s="1"/>
  <c r="J349" i="39"/>
  <c r="J3" i="15" s="1"/>
  <c r="M378" i="39" l="1"/>
  <c r="L5" i="18"/>
  <c r="L430" i="39"/>
  <c r="L9" i="18" s="1"/>
  <c r="L181" i="14"/>
  <c r="L182" i="14" s="1"/>
  <c r="M168" i="30"/>
  <c r="K414" i="39"/>
  <c r="K8" i="15" s="1"/>
  <c r="K6" i="15"/>
  <c r="K375" i="39"/>
  <c r="K5" i="15" s="1"/>
  <c r="K336" i="39"/>
  <c r="K2" i="15" s="1"/>
  <c r="K362" i="39"/>
  <c r="K4" i="15" s="1"/>
  <c r="K349" i="39"/>
  <c r="K3" i="15" s="1"/>
  <c r="J427" i="39"/>
  <c r="J9" i="15" s="1"/>
  <c r="K169" i="14" s="1"/>
  <c r="K170" i="14" s="1"/>
  <c r="M181" i="14" l="1"/>
  <c r="M182" i="14" s="1"/>
  <c r="N378" i="39"/>
  <c r="M5" i="18"/>
  <c r="M430" i="39"/>
  <c r="M9" i="18" s="1"/>
  <c r="N168" i="30"/>
  <c r="L349" i="39"/>
  <c r="L3" i="15" s="1"/>
  <c r="L414" i="39"/>
  <c r="L8" i="15" s="1"/>
  <c r="L6" i="15"/>
  <c r="L336" i="39"/>
  <c r="L2" i="15" s="1"/>
  <c r="L375" i="39"/>
  <c r="L5" i="15" s="1"/>
  <c r="L362" i="39"/>
  <c r="L4" i="15" s="1"/>
  <c r="K427" i="39"/>
  <c r="K9" i="15" s="1"/>
  <c r="L169" i="14" s="1"/>
  <c r="L170" i="14" s="1"/>
  <c r="N181" i="14" l="1"/>
  <c r="N182" i="14" s="1"/>
  <c r="O378" i="39"/>
  <c r="N5" i="18"/>
  <c r="N430" i="39"/>
  <c r="N9" i="18" s="1"/>
  <c r="L427" i="39"/>
  <c r="L9" i="15" s="1"/>
  <c r="M169" i="14" s="1"/>
  <c r="M170" i="14" s="1"/>
  <c r="O168" i="30"/>
  <c r="M414" i="39"/>
  <c r="M8" i="15" s="1"/>
  <c r="M362" i="39"/>
  <c r="M4" i="15" s="1"/>
  <c r="M349" i="39"/>
  <c r="M3" i="15" s="1"/>
  <c r="M6" i="15"/>
  <c r="M336" i="39"/>
  <c r="M2" i="15" s="1"/>
  <c r="M375" i="39"/>
  <c r="M5" i="15" s="1"/>
  <c r="O181" i="14" l="1"/>
  <c r="O182" i="14" s="1"/>
  <c r="P378" i="39"/>
  <c r="O5" i="18"/>
  <c r="O430" i="39"/>
  <c r="O9" i="18" s="1"/>
  <c r="M427" i="39"/>
  <c r="M9" i="15" s="1"/>
  <c r="N169" i="14" s="1"/>
  <c r="N170" i="14" s="1"/>
  <c r="P168" i="30"/>
  <c r="N414" i="39"/>
  <c r="N8" i="15" s="1"/>
  <c r="N362" i="39"/>
  <c r="N4" i="15" s="1"/>
  <c r="N349" i="39"/>
  <c r="N3" i="15" s="1"/>
  <c r="N6" i="15"/>
  <c r="N336" i="39"/>
  <c r="N2" i="15" s="1"/>
  <c r="N375" i="39"/>
  <c r="N5" i="15" s="1"/>
  <c r="P181" i="14" l="1"/>
  <c r="P182" i="14" s="1"/>
  <c r="Q378" i="39"/>
  <c r="P5" i="18"/>
  <c r="P430" i="39"/>
  <c r="P9" i="18" s="1"/>
  <c r="N427" i="39"/>
  <c r="N9" i="15" s="1"/>
  <c r="O169" i="14" s="1"/>
  <c r="O170" i="14" s="1"/>
  <c r="Q168" i="30"/>
  <c r="O414" i="39"/>
  <c r="O8" i="15" s="1"/>
  <c r="O349" i="39"/>
  <c r="O3" i="15" s="1"/>
  <c r="O6" i="15"/>
  <c r="O336" i="39"/>
  <c r="O2" i="15" s="1"/>
  <c r="O375" i="39"/>
  <c r="O5" i="15" s="1"/>
  <c r="O362" i="39"/>
  <c r="O4" i="15" s="1"/>
  <c r="Q181" i="14" l="1"/>
  <c r="Q182" i="14" s="1"/>
  <c r="R378" i="39"/>
  <c r="Q5" i="18"/>
  <c r="Q430" i="39"/>
  <c r="Q9" i="18" s="1"/>
  <c r="O427" i="39"/>
  <c r="O9" i="15" s="1"/>
  <c r="P169" i="14" s="1"/>
  <c r="P170" i="14" s="1"/>
  <c r="R168" i="30"/>
  <c r="P375" i="39"/>
  <c r="P5" i="15" s="1"/>
  <c r="P362" i="39"/>
  <c r="P4" i="15" s="1"/>
  <c r="P414" i="39"/>
  <c r="P8" i="15" s="1"/>
  <c r="P349" i="39"/>
  <c r="P3" i="15" s="1"/>
  <c r="P6" i="15"/>
  <c r="P336" i="39"/>
  <c r="P2" i="15" s="1"/>
  <c r="R181" i="14" l="1"/>
  <c r="R182" i="14" s="1"/>
  <c r="S378" i="39"/>
  <c r="R5" i="18"/>
  <c r="R430" i="39"/>
  <c r="R9" i="18" s="1"/>
  <c r="P427" i="39"/>
  <c r="P9" i="15" s="1"/>
  <c r="S168" i="30"/>
  <c r="Q362" i="39"/>
  <c r="Q4" i="15" s="1"/>
  <c r="Q336" i="39"/>
  <c r="Q2" i="15" s="1"/>
  <c r="Q414" i="39"/>
  <c r="Q8" i="15" s="1"/>
  <c r="Q349" i="39"/>
  <c r="Q3" i="15" s="1"/>
  <c r="Q6" i="15"/>
  <c r="Q375" i="39"/>
  <c r="Q5" i="15" s="1"/>
  <c r="S181" i="14" l="1"/>
  <c r="S182" i="14" s="1"/>
  <c r="S5" i="18"/>
  <c r="T378" i="39"/>
  <c r="S430" i="39"/>
  <c r="S9" i="18" s="1"/>
  <c r="Q169" i="14"/>
  <c r="Q170" i="14" s="1"/>
  <c r="Q427" i="39"/>
  <c r="Q9" i="15" s="1"/>
  <c r="T168" i="30"/>
  <c r="R6" i="15"/>
  <c r="R336" i="39"/>
  <c r="R2" i="15" s="1"/>
  <c r="R375" i="39"/>
  <c r="R5" i="15" s="1"/>
  <c r="R362" i="39"/>
  <c r="R4" i="15" s="1"/>
  <c r="R414" i="39"/>
  <c r="R8" i="15" s="1"/>
  <c r="R349" i="39"/>
  <c r="R3" i="15" s="1"/>
  <c r="T5" i="18" l="1"/>
  <c r="U378" i="39"/>
  <c r="T430" i="39"/>
  <c r="T9" i="18" s="1"/>
  <c r="T181" i="14"/>
  <c r="T182" i="14" s="1"/>
  <c r="R427" i="39"/>
  <c r="R9" i="15" s="1"/>
  <c r="S169" i="14" s="1"/>
  <c r="S170" i="14" s="1"/>
  <c r="R169" i="14"/>
  <c r="R170" i="14" s="1"/>
  <c r="U168" i="30"/>
  <c r="S6" i="15"/>
  <c r="S414" i="39"/>
  <c r="S8" i="15" s="1"/>
  <c r="S375" i="39"/>
  <c r="S5" i="15" s="1"/>
  <c r="S349" i="39"/>
  <c r="S3" i="15" s="1"/>
  <c r="S362" i="39"/>
  <c r="S4" i="15" s="1"/>
  <c r="S336" i="39"/>
  <c r="S2" i="15" s="1"/>
  <c r="V378" i="39" l="1"/>
  <c r="U5" i="18"/>
  <c r="U430" i="39"/>
  <c r="U9" i="18" s="1"/>
  <c r="U181" i="14"/>
  <c r="U182" i="14" s="1"/>
  <c r="V168" i="30"/>
  <c r="T414" i="39"/>
  <c r="T8" i="15" s="1"/>
  <c r="T349" i="39"/>
  <c r="T3" i="15" s="1"/>
  <c r="T6" i="15"/>
  <c r="T336" i="39"/>
  <c r="T2" i="15" s="1"/>
  <c r="T375" i="39"/>
  <c r="T5" i="15" s="1"/>
  <c r="T362" i="39"/>
  <c r="T4" i="15" s="1"/>
  <c r="S427" i="39"/>
  <c r="S9" i="15" s="1"/>
  <c r="T169" i="14" s="1"/>
  <c r="T170" i="14" s="1"/>
  <c r="V181" i="14" l="1"/>
  <c r="V182" i="14" s="1"/>
  <c r="V5" i="18"/>
  <c r="W378" i="39"/>
  <c r="V430" i="39"/>
  <c r="V9" i="18" s="1"/>
  <c r="T427" i="39"/>
  <c r="T9" i="15" s="1"/>
  <c r="U169" i="14" s="1"/>
  <c r="U170" i="14" s="1"/>
  <c r="W168" i="30"/>
  <c r="U349" i="39"/>
  <c r="U3" i="15" s="1"/>
  <c r="U414" i="39"/>
  <c r="U8" i="15" s="1"/>
  <c r="U6" i="15"/>
  <c r="U336" i="39"/>
  <c r="U2" i="15" s="1"/>
  <c r="U375" i="39"/>
  <c r="U5" i="15" s="1"/>
  <c r="U362" i="39"/>
  <c r="U4" i="15" s="1"/>
  <c r="X378" i="39" l="1"/>
  <c r="W5" i="18"/>
  <c r="W430" i="39"/>
  <c r="W9" i="18" s="1"/>
  <c r="W181" i="14"/>
  <c r="W182" i="14" s="1"/>
  <c r="U427" i="39"/>
  <c r="U9" i="15" s="1"/>
  <c r="V169" i="14" s="1"/>
  <c r="V170" i="14" s="1"/>
  <c r="X168" i="30"/>
  <c r="V362" i="39"/>
  <c r="V4" i="15" s="1"/>
  <c r="V414" i="39"/>
  <c r="V8" i="15" s="1"/>
  <c r="V349" i="39"/>
  <c r="V3" i="15" s="1"/>
  <c r="V6" i="15"/>
  <c r="V336" i="39"/>
  <c r="V2" i="15" s="1"/>
  <c r="V375" i="39"/>
  <c r="V5" i="15" s="1"/>
  <c r="X181" i="14" l="1"/>
  <c r="X182" i="14" s="1"/>
  <c r="X5" i="18"/>
  <c r="Y378" i="39"/>
  <c r="X430" i="39"/>
  <c r="X9" i="18" s="1"/>
  <c r="V427" i="39"/>
  <c r="V9" i="15" s="1"/>
  <c r="W169" i="14" s="1"/>
  <c r="W170" i="14" s="1"/>
  <c r="Y168" i="30"/>
  <c r="W414" i="39"/>
  <c r="W8" i="15" s="1"/>
  <c r="W349" i="39"/>
  <c r="W3" i="15" s="1"/>
  <c r="W375" i="39"/>
  <c r="W5" i="15" s="1"/>
  <c r="W6" i="15"/>
  <c r="W336" i="39"/>
  <c r="W2" i="15" s="1"/>
  <c r="W362" i="39"/>
  <c r="W4" i="15" s="1"/>
  <c r="Z378" i="39" l="1"/>
  <c r="Y5" i="18"/>
  <c r="Y430" i="39"/>
  <c r="Y9" i="18" s="1"/>
  <c r="Y181" i="14"/>
  <c r="Y182" i="14" s="1"/>
  <c r="W427" i="39"/>
  <c r="W9" i="15" s="1"/>
  <c r="X169" i="14" s="1"/>
  <c r="X170" i="14" s="1"/>
  <c r="Z168" i="30"/>
  <c r="X375" i="39"/>
  <c r="X5" i="15" s="1"/>
  <c r="X362" i="39"/>
  <c r="X4" i="15" s="1"/>
  <c r="X414" i="39"/>
  <c r="X8" i="15" s="1"/>
  <c r="X349" i="39"/>
  <c r="X3" i="15" s="1"/>
  <c r="X6" i="15"/>
  <c r="X336" i="39"/>
  <c r="X2" i="15" s="1"/>
  <c r="Z181" i="14" l="1"/>
  <c r="Z182" i="14" s="1"/>
  <c r="Z5" i="18"/>
  <c r="AA378" i="39"/>
  <c r="Z430" i="39"/>
  <c r="Z9" i="18" s="1"/>
  <c r="X427" i="39"/>
  <c r="X9" i="15" s="1"/>
  <c r="Y169" i="14" s="1"/>
  <c r="Y170" i="14" s="1"/>
  <c r="AA168" i="30"/>
  <c r="Y362" i="39"/>
  <c r="Y4" i="15" s="1"/>
  <c r="Y414" i="39"/>
  <c r="Y8" i="15" s="1"/>
  <c r="Y349" i="39"/>
  <c r="Y3" i="15" s="1"/>
  <c r="Y375" i="39"/>
  <c r="Y5" i="15" s="1"/>
  <c r="Y6" i="15"/>
  <c r="Y336" i="39"/>
  <c r="Y2" i="15" s="1"/>
  <c r="AB378" i="39" l="1"/>
  <c r="AA5" i="18"/>
  <c r="AA430" i="39"/>
  <c r="AA9" i="18" s="1"/>
  <c r="AA181" i="14"/>
  <c r="AA182" i="14" s="1"/>
  <c r="Y427" i="39"/>
  <c r="Y9" i="15" s="1"/>
  <c r="Z169" i="14" s="1"/>
  <c r="Z170" i="14" s="1"/>
  <c r="AB168" i="30"/>
  <c r="Z6" i="15"/>
  <c r="Z336" i="39"/>
  <c r="Z2" i="15" s="1"/>
  <c r="Z375" i="39"/>
  <c r="Z5" i="15" s="1"/>
  <c r="Z362" i="39"/>
  <c r="Z4" i="15" s="1"/>
  <c r="Z414" i="39"/>
  <c r="Z8" i="15" s="1"/>
  <c r="Z349" i="39"/>
  <c r="Z3" i="15" s="1"/>
  <c r="AB181" i="14" l="1"/>
  <c r="AB182" i="14" s="1"/>
  <c r="AB5" i="18"/>
  <c r="AC378" i="39"/>
  <c r="AB430" i="39"/>
  <c r="AB9" i="18" s="1"/>
  <c r="Z427" i="39"/>
  <c r="Z9" i="15" s="1"/>
  <c r="AA169" i="14" s="1"/>
  <c r="AA170" i="14" s="1"/>
  <c r="AC168" i="30"/>
  <c r="AA6" i="15"/>
  <c r="AA349" i="39"/>
  <c r="AA3" i="15" s="1"/>
  <c r="AA375" i="39"/>
  <c r="AA5" i="15" s="1"/>
  <c r="AA362" i="39"/>
  <c r="AA4" i="15" s="1"/>
  <c r="AA336" i="39"/>
  <c r="AA2" i="15" s="1"/>
  <c r="AA414" i="39"/>
  <c r="AA8" i="15" s="1"/>
  <c r="AC5" i="18" l="1"/>
  <c r="AD378" i="39"/>
  <c r="AC430" i="39"/>
  <c r="AC9" i="18" s="1"/>
  <c r="AC181" i="14"/>
  <c r="AC182" i="14" s="1"/>
  <c r="AA427" i="39"/>
  <c r="AA9" i="15" s="1"/>
  <c r="AB169" i="14" s="1"/>
  <c r="AB170" i="14" s="1"/>
  <c r="AD168" i="30"/>
  <c r="AB414" i="39"/>
  <c r="AB8" i="15" s="1"/>
  <c r="AB349" i="39"/>
  <c r="AB3" i="15" s="1"/>
  <c r="AB6" i="15"/>
  <c r="AB336" i="39"/>
  <c r="AB2" i="15" s="1"/>
  <c r="AB375" i="39"/>
  <c r="AB5" i="15" s="1"/>
  <c r="AB362" i="39"/>
  <c r="AB4" i="15" s="1"/>
  <c r="AE378" i="39" l="1"/>
  <c r="AD5" i="18"/>
  <c r="AD430" i="39"/>
  <c r="AD9" i="18" s="1"/>
  <c r="AD181" i="14"/>
  <c r="AD182" i="14" s="1"/>
  <c r="AB427" i="39"/>
  <c r="AB9" i="15" s="1"/>
  <c r="AC169" i="14" s="1"/>
  <c r="AC170" i="14" s="1"/>
  <c r="AE168" i="30"/>
  <c r="AC414" i="39"/>
  <c r="AC8" i="15" s="1"/>
  <c r="AC6" i="15"/>
  <c r="AC336" i="39"/>
  <c r="AC2" i="15" s="1"/>
  <c r="AC375" i="39"/>
  <c r="AC5" i="15" s="1"/>
  <c r="AC349" i="39"/>
  <c r="AC3" i="15" s="1"/>
  <c r="AC362" i="39"/>
  <c r="AC4" i="15" s="1"/>
  <c r="AE181" i="14" l="1"/>
  <c r="AE182" i="14" s="1"/>
  <c r="AF378" i="39"/>
  <c r="AE5" i="18"/>
  <c r="AE430" i="39"/>
  <c r="AE9" i="18" s="1"/>
  <c r="AF168" i="30"/>
  <c r="AD362" i="39"/>
  <c r="AD4" i="15" s="1"/>
  <c r="AD414" i="39"/>
  <c r="AD8" i="15" s="1"/>
  <c r="AD349" i="39"/>
  <c r="AD3" i="15" s="1"/>
  <c r="AD6" i="15"/>
  <c r="AD336" i="39"/>
  <c r="AD2" i="15" s="1"/>
  <c r="AD375" i="39"/>
  <c r="AD5" i="15" s="1"/>
  <c r="AC427" i="39"/>
  <c r="AC9" i="15" s="1"/>
  <c r="AD169" i="14" s="1"/>
  <c r="AD170" i="14" s="1"/>
  <c r="AF181" i="14" l="1"/>
  <c r="AF182" i="14" s="1"/>
  <c r="AG378" i="39"/>
  <c r="AF5" i="18"/>
  <c r="AF430" i="39"/>
  <c r="AF9" i="18" s="1"/>
  <c r="AD427" i="39"/>
  <c r="AD9" i="15" s="1"/>
  <c r="AE169" i="14" s="1"/>
  <c r="AE170" i="14" s="1"/>
  <c r="AG168" i="30"/>
  <c r="AE414" i="39"/>
  <c r="AE8" i="15" s="1"/>
  <c r="AE349" i="39"/>
  <c r="AE3" i="15" s="1"/>
  <c r="AE6" i="15"/>
  <c r="AE336" i="39"/>
  <c r="AE2" i="15" s="1"/>
  <c r="AE375" i="39"/>
  <c r="AE5" i="15" s="1"/>
  <c r="AE362" i="39"/>
  <c r="AE4" i="15" s="1"/>
  <c r="AG5" i="18" l="1"/>
  <c r="AH378" i="39"/>
  <c r="AG430" i="39"/>
  <c r="AG9" i="18" s="1"/>
  <c r="AG181" i="14"/>
  <c r="AG182" i="14" s="1"/>
  <c r="AH168" i="30"/>
  <c r="AF375" i="39"/>
  <c r="AF5" i="15" s="1"/>
  <c r="AF362" i="39"/>
  <c r="AF4" i="15" s="1"/>
  <c r="AF414" i="39"/>
  <c r="AF8" i="15" s="1"/>
  <c r="AF349" i="39"/>
  <c r="AF3" i="15" s="1"/>
  <c r="AF6" i="15"/>
  <c r="AF336" i="39"/>
  <c r="AF2" i="15" s="1"/>
  <c r="AE427" i="39"/>
  <c r="AE9" i="15" s="1"/>
  <c r="AF169" i="14" s="1"/>
  <c r="AF170" i="14" s="1"/>
  <c r="AH5" i="18" l="1"/>
  <c r="AI378" i="39"/>
  <c r="AH430" i="39"/>
  <c r="AH9" i="18" s="1"/>
  <c r="AH181" i="14"/>
  <c r="AH182" i="14" s="1"/>
  <c r="AI168" i="30"/>
  <c r="AF427" i="39"/>
  <c r="AF9" i="15" s="1"/>
  <c r="AG169" i="14" s="1"/>
  <c r="AG170" i="14" s="1"/>
  <c r="AG362" i="39"/>
  <c r="AG4" i="15" s="1"/>
  <c r="AG375" i="39"/>
  <c r="AG5" i="15" s="1"/>
  <c r="AG414" i="39"/>
  <c r="AG8" i="15" s="1"/>
  <c r="AG349" i="39"/>
  <c r="AG3" i="15" s="1"/>
  <c r="AG6" i="15"/>
  <c r="AG336" i="39"/>
  <c r="AG2" i="15" s="1"/>
  <c r="AI5" i="18" l="1"/>
  <c r="AI430" i="39"/>
  <c r="AI9" i="18" s="1"/>
  <c r="AI181" i="14"/>
  <c r="AI182" i="14" s="1"/>
  <c r="AG427" i="39"/>
  <c r="AG9" i="15" s="1"/>
  <c r="AH169" i="14" s="1"/>
  <c r="AH170" i="14" s="1"/>
  <c r="AH6" i="15"/>
  <c r="AH336" i="39"/>
  <c r="AH2" i="15" s="1"/>
  <c r="AH375" i="39"/>
  <c r="AH5" i="15" s="1"/>
  <c r="AH362" i="39"/>
  <c r="AH4" i="15" s="1"/>
  <c r="AH414" i="39"/>
  <c r="AH8" i="15" s="1"/>
  <c r="AH349" i="39"/>
  <c r="AH3" i="15" s="1"/>
  <c r="AJ181" i="14" l="1"/>
  <c r="AJ182" i="14" s="1"/>
  <c r="AH427" i="39"/>
  <c r="AH9" i="15" s="1"/>
  <c r="AI169" i="14" s="1"/>
  <c r="AI170" i="14" s="1"/>
  <c r="AI337" i="39"/>
  <c r="AI2" i="16" s="1"/>
  <c r="AI350" i="39"/>
  <c r="AI363" i="39"/>
  <c r="AI4" i="16" s="1"/>
  <c r="AI376" i="39"/>
  <c r="AI5" i="16" s="1"/>
  <c r="AI6" i="16"/>
  <c r="D173" i="30"/>
  <c r="D210" i="30" s="1"/>
  <c r="AI428" i="39" l="1"/>
  <c r="AI9" i="16" s="1"/>
  <c r="C350" i="39"/>
  <c r="C3" i="16" s="1"/>
  <c r="C389" i="39"/>
  <c r="C6" i="16" s="1"/>
  <c r="C376" i="39"/>
  <c r="C5" i="16" s="1"/>
  <c r="C363" i="39"/>
  <c r="C4" i="16" s="1"/>
  <c r="C337" i="39"/>
  <c r="C2" i="16" s="1"/>
  <c r="E173" i="30"/>
  <c r="E210" i="30" s="1"/>
  <c r="AI3" i="16"/>
  <c r="AJ173" i="14" l="1"/>
  <c r="AJ174" i="14" s="1"/>
  <c r="AJ165" i="14"/>
  <c r="AJ166" i="14" s="1"/>
  <c r="D389" i="39"/>
  <c r="D6" i="16" s="1"/>
  <c r="F173" i="30"/>
  <c r="F210" i="30" s="1"/>
  <c r="D350" i="39"/>
  <c r="D3" i="16" s="1"/>
  <c r="D363" i="39"/>
  <c r="D4" i="16" s="1"/>
  <c r="D376" i="39"/>
  <c r="D5" i="16" s="1"/>
  <c r="D337" i="39"/>
  <c r="D2" i="16" s="1"/>
  <c r="C428" i="39"/>
  <c r="C9" i="16" s="1"/>
  <c r="D173" i="14" s="1"/>
  <c r="D174" i="14" s="1"/>
  <c r="D428" i="39" l="1"/>
  <c r="D9" i="16" s="1"/>
  <c r="E165" i="14" s="1"/>
  <c r="E166" i="14" s="1"/>
  <c r="D165" i="14"/>
  <c r="D166" i="14" s="1"/>
  <c r="E376" i="39"/>
  <c r="E5" i="16" s="1"/>
  <c r="E6" i="16"/>
  <c r="G173" i="30"/>
  <c r="G210" i="30" s="1"/>
  <c r="E337" i="39"/>
  <c r="E2" i="16" s="1"/>
  <c r="E350" i="39"/>
  <c r="E3" i="16" s="1"/>
  <c r="E363" i="39"/>
  <c r="E4" i="16" s="1"/>
  <c r="E428" i="39" l="1"/>
  <c r="E9" i="16" s="1"/>
  <c r="F173" i="14" s="1"/>
  <c r="F174" i="14" s="1"/>
  <c r="E173" i="14"/>
  <c r="E174" i="14" s="1"/>
  <c r="F363" i="39"/>
  <c r="F4" i="16" s="1"/>
  <c r="F376" i="39"/>
  <c r="F5" i="16" s="1"/>
  <c r="F6" i="16"/>
  <c r="H173" i="30"/>
  <c r="H210" i="30" s="1"/>
  <c r="F337" i="39"/>
  <c r="F2" i="16" s="1"/>
  <c r="F350" i="39"/>
  <c r="F3" i="16" s="1"/>
  <c r="F165" i="14" l="1"/>
  <c r="F166" i="14" s="1"/>
  <c r="F428" i="39"/>
  <c r="F9" i="16" s="1"/>
  <c r="G173" i="14" s="1"/>
  <c r="G174" i="14" s="1"/>
  <c r="G350" i="39"/>
  <c r="G3" i="16" s="1"/>
  <c r="G363" i="39"/>
  <c r="G4" i="16" s="1"/>
  <c r="G376" i="39"/>
  <c r="G5" i="16" s="1"/>
  <c r="G6" i="16"/>
  <c r="I173" i="30"/>
  <c r="I210" i="30" s="1"/>
  <c r="G337" i="39"/>
  <c r="G2" i="16" s="1"/>
  <c r="G165" i="14" l="1"/>
  <c r="G166" i="14" s="1"/>
  <c r="G428" i="39"/>
  <c r="G9" i="16" s="1"/>
  <c r="H173" i="14" s="1"/>
  <c r="H174" i="14" s="1"/>
  <c r="H337" i="39"/>
  <c r="H2" i="16" s="1"/>
  <c r="H350" i="39"/>
  <c r="H3" i="16" s="1"/>
  <c r="H363" i="39"/>
  <c r="H4" i="16" s="1"/>
  <c r="H376" i="39"/>
  <c r="H5" i="16" s="1"/>
  <c r="H6" i="16"/>
  <c r="J173" i="30"/>
  <c r="J210" i="30" s="1"/>
  <c r="H165" i="14" l="1"/>
  <c r="H166" i="14" s="1"/>
  <c r="H428" i="39"/>
  <c r="H9" i="16" s="1"/>
  <c r="I173" i="14" s="1"/>
  <c r="I174" i="14" s="1"/>
  <c r="I165" i="14"/>
  <c r="I166" i="14" s="1"/>
  <c r="K173" i="30"/>
  <c r="K210" i="30" s="1"/>
  <c r="I337" i="39"/>
  <c r="I2" i="16" s="1"/>
  <c r="I376" i="39"/>
  <c r="I5" i="16" s="1"/>
  <c r="I350" i="39"/>
  <c r="I3" i="16" s="1"/>
  <c r="I363" i="39"/>
  <c r="I4" i="16" s="1"/>
  <c r="I6" i="16"/>
  <c r="L173" i="30" l="1"/>
  <c r="L210" i="30" s="1"/>
  <c r="J363" i="39"/>
  <c r="J4" i="16" s="1"/>
  <c r="J337" i="39"/>
  <c r="J2" i="16" s="1"/>
  <c r="J350" i="39"/>
  <c r="J3" i="16" s="1"/>
  <c r="J376" i="39"/>
  <c r="J5" i="16" s="1"/>
  <c r="J6" i="16"/>
  <c r="I428" i="39"/>
  <c r="I9" i="16" s="1"/>
  <c r="J165" i="14" s="1"/>
  <c r="J166" i="14" s="1"/>
  <c r="J428" i="39" l="1"/>
  <c r="J9" i="16" s="1"/>
  <c r="K173" i="14" s="1"/>
  <c r="K174" i="14" s="1"/>
  <c r="M173" i="30"/>
  <c r="M210" i="30" s="1"/>
  <c r="K337" i="39"/>
  <c r="K2" i="16" s="1"/>
  <c r="K350" i="39"/>
  <c r="K3" i="16" s="1"/>
  <c r="K363" i="39"/>
  <c r="K4" i="16" s="1"/>
  <c r="K376" i="39"/>
  <c r="K5" i="16" s="1"/>
  <c r="K6" i="16"/>
  <c r="J173" i="14"/>
  <c r="J174" i="14" s="1"/>
  <c r="K165" i="14" l="1"/>
  <c r="K166" i="14" s="1"/>
  <c r="L6" i="16"/>
  <c r="N173" i="30"/>
  <c r="N210" i="30" s="1"/>
  <c r="L350" i="39"/>
  <c r="L3" i="16" s="1"/>
  <c r="L337" i="39"/>
  <c r="L2" i="16" s="1"/>
  <c r="L363" i="39"/>
  <c r="L4" i="16" s="1"/>
  <c r="L376" i="39"/>
  <c r="L5" i="16" s="1"/>
  <c r="K428" i="39"/>
  <c r="K9" i="16" s="1"/>
  <c r="L173" i="14" s="1"/>
  <c r="L174" i="14" s="1"/>
  <c r="L165" i="14" l="1"/>
  <c r="L166" i="14" s="1"/>
  <c r="M376" i="39"/>
  <c r="M5" i="16" s="1"/>
  <c r="M6" i="16"/>
  <c r="M337" i="39"/>
  <c r="M2" i="16" s="1"/>
  <c r="O173" i="30"/>
  <c r="O210" i="30" s="1"/>
  <c r="M350" i="39"/>
  <c r="M3" i="16" s="1"/>
  <c r="M363" i="39"/>
  <c r="M4" i="16" s="1"/>
  <c r="L428" i="39"/>
  <c r="L9" i="16" s="1"/>
  <c r="M165" i="14" s="1"/>
  <c r="M166" i="14" s="1"/>
  <c r="M428" i="39" l="1"/>
  <c r="M9" i="16" s="1"/>
  <c r="N165" i="14" s="1"/>
  <c r="N166" i="14" s="1"/>
  <c r="M173" i="14"/>
  <c r="M174" i="14" s="1"/>
  <c r="N363" i="39"/>
  <c r="N4" i="16" s="1"/>
  <c r="N376" i="39"/>
  <c r="N5" i="16" s="1"/>
  <c r="N6" i="16"/>
  <c r="P173" i="30"/>
  <c r="P210" i="30" s="1"/>
  <c r="N337" i="39"/>
  <c r="N2" i="16" s="1"/>
  <c r="N350" i="39"/>
  <c r="N3" i="16" s="1"/>
  <c r="N428" i="39" l="1"/>
  <c r="N9" i="16" s="1"/>
  <c r="O165" i="14" s="1"/>
  <c r="O166" i="14" s="1"/>
  <c r="N173" i="14"/>
  <c r="N174" i="14" s="1"/>
  <c r="O350" i="39"/>
  <c r="O3" i="16" s="1"/>
  <c r="O363" i="39"/>
  <c r="O4" i="16" s="1"/>
  <c r="O376" i="39"/>
  <c r="O5" i="16" s="1"/>
  <c r="O6" i="16"/>
  <c r="Q173" i="30"/>
  <c r="Q210" i="30" s="1"/>
  <c r="O337" i="39"/>
  <c r="O2" i="16" s="1"/>
  <c r="O173" i="14" l="1"/>
  <c r="O174" i="14" s="1"/>
  <c r="O428" i="39"/>
  <c r="O9" i="16" s="1"/>
  <c r="P165" i="14" s="1"/>
  <c r="P166" i="14" s="1"/>
  <c r="P337" i="39"/>
  <c r="P2" i="16" s="1"/>
  <c r="P6" i="16"/>
  <c r="P350" i="39"/>
  <c r="P3" i="16" s="1"/>
  <c r="P363" i="39"/>
  <c r="P4" i="16" s="1"/>
  <c r="P376" i="39"/>
  <c r="P5" i="16" s="1"/>
  <c r="R173" i="30"/>
  <c r="R210" i="30" s="1"/>
  <c r="P173" i="14" l="1"/>
  <c r="P174" i="14" s="1"/>
  <c r="S173" i="30"/>
  <c r="S210" i="30" s="1"/>
  <c r="Q337" i="39"/>
  <c r="Q2" i="16" s="1"/>
  <c r="Q350" i="39"/>
  <c r="Q3" i="16" s="1"/>
  <c r="Q376" i="39"/>
  <c r="Q5" i="16" s="1"/>
  <c r="Q363" i="39"/>
  <c r="Q4" i="16" s="1"/>
  <c r="Q6" i="16"/>
  <c r="P428" i="39"/>
  <c r="P9" i="16" s="1"/>
  <c r="Q165" i="14" s="1"/>
  <c r="Q166" i="14" s="1"/>
  <c r="T173" i="30" l="1"/>
  <c r="T210" i="30" s="1"/>
  <c r="R363" i="39"/>
  <c r="R4" i="16" s="1"/>
  <c r="R337" i="39"/>
  <c r="R2" i="16" s="1"/>
  <c r="R350" i="39"/>
  <c r="R3" i="16" s="1"/>
  <c r="R376" i="39"/>
  <c r="R5" i="16" s="1"/>
  <c r="R6" i="16"/>
  <c r="Q173" i="14"/>
  <c r="Q174" i="14" s="1"/>
  <c r="Q428" i="39"/>
  <c r="Q9" i="16" s="1"/>
  <c r="R165" i="14" s="1"/>
  <c r="R166" i="14" s="1"/>
  <c r="S350" i="39" l="1"/>
  <c r="S3" i="16" s="1"/>
  <c r="U173" i="30"/>
  <c r="U210" i="30" s="1"/>
  <c r="S337" i="39"/>
  <c r="S2" i="16" s="1"/>
  <c r="S363" i="39"/>
  <c r="S4" i="16" s="1"/>
  <c r="S376" i="39"/>
  <c r="S5" i="16" s="1"/>
  <c r="S6" i="16"/>
  <c r="R428" i="39"/>
  <c r="R9" i="16" s="1"/>
  <c r="S173" i="14" s="1"/>
  <c r="S174" i="14" s="1"/>
  <c r="R173" i="14"/>
  <c r="R174" i="14" s="1"/>
  <c r="T6" i="16" l="1"/>
  <c r="T337" i="39"/>
  <c r="T2" i="16" s="1"/>
  <c r="V173" i="30"/>
  <c r="V210" i="30" s="1"/>
  <c r="T350" i="39"/>
  <c r="T3" i="16" s="1"/>
  <c r="T363" i="39"/>
  <c r="T4" i="16" s="1"/>
  <c r="T376" i="39"/>
  <c r="T5" i="16" s="1"/>
  <c r="S165" i="14"/>
  <c r="S166" i="14" s="1"/>
  <c r="S428" i="39"/>
  <c r="S9" i="16" s="1"/>
  <c r="T173" i="14" s="1"/>
  <c r="T174" i="14" s="1"/>
  <c r="T428" i="39" l="1"/>
  <c r="T9" i="16" s="1"/>
  <c r="U165" i="14" s="1"/>
  <c r="U166" i="14" s="1"/>
  <c r="U376" i="39"/>
  <c r="U5" i="16" s="1"/>
  <c r="U6" i="16"/>
  <c r="U337" i="39"/>
  <c r="U2" i="16" s="1"/>
  <c r="U350" i="39"/>
  <c r="U3" i="16" s="1"/>
  <c r="U363" i="39"/>
  <c r="U4" i="16" s="1"/>
  <c r="W173" i="30"/>
  <c r="W210" i="30" s="1"/>
  <c r="T165" i="14"/>
  <c r="T166" i="14" s="1"/>
  <c r="U173" i="14" l="1"/>
  <c r="U174" i="14" s="1"/>
  <c r="U428" i="39"/>
  <c r="U9" i="16" s="1"/>
  <c r="V165" i="14" s="1"/>
  <c r="V166" i="14" s="1"/>
  <c r="V363" i="39"/>
  <c r="V4" i="16" s="1"/>
  <c r="V376" i="39"/>
  <c r="V5" i="16" s="1"/>
  <c r="V6" i="16"/>
  <c r="X173" i="30"/>
  <c r="X210" i="30" s="1"/>
  <c r="V337" i="39"/>
  <c r="V2" i="16" s="1"/>
  <c r="V350" i="39"/>
  <c r="V3" i="16" s="1"/>
  <c r="V173" i="14" l="1"/>
  <c r="V174" i="14" s="1"/>
  <c r="V428" i="39"/>
  <c r="V9" i="16" s="1"/>
  <c r="W165" i="14" s="1"/>
  <c r="W166" i="14" s="1"/>
  <c r="W350" i="39"/>
  <c r="W3" i="16" s="1"/>
  <c r="W363" i="39"/>
  <c r="W4" i="16" s="1"/>
  <c r="W376" i="39"/>
  <c r="W5" i="16" s="1"/>
  <c r="W6" i="16"/>
  <c r="Y173" i="30"/>
  <c r="Y210" i="30" s="1"/>
  <c r="W337" i="39"/>
  <c r="W2" i="16" s="1"/>
  <c r="W428" i="39" l="1"/>
  <c r="W9" i="16" s="1"/>
  <c r="X337" i="39"/>
  <c r="X2" i="16" s="1"/>
  <c r="X350" i="39"/>
  <c r="X3" i="16" s="1"/>
  <c r="X6" i="16"/>
  <c r="X363" i="39"/>
  <c r="X4" i="16" s="1"/>
  <c r="X376" i="39"/>
  <c r="X5" i="16" s="1"/>
  <c r="Z173" i="30"/>
  <c r="Z210" i="30" s="1"/>
  <c r="W173" i="14"/>
  <c r="W174" i="14" s="1"/>
  <c r="X165" i="14"/>
  <c r="X166" i="14" s="1"/>
  <c r="X173" i="14"/>
  <c r="X174" i="14" s="1"/>
  <c r="X428" i="39" l="1"/>
  <c r="X9" i="16" s="1"/>
  <c r="Y173" i="14" s="1"/>
  <c r="Y174" i="14" s="1"/>
  <c r="Y165" i="14"/>
  <c r="Y166" i="14" s="1"/>
  <c r="AA173" i="30"/>
  <c r="AA210" i="30" s="1"/>
  <c r="Y337" i="39"/>
  <c r="Y2" i="16" s="1"/>
  <c r="Y350" i="39"/>
  <c r="Y3" i="16" s="1"/>
  <c r="Y363" i="39"/>
  <c r="Y4" i="16" s="1"/>
  <c r="Y6" i="16"/>
  <c r="Y376" i="39"/>
  <c r="Y5" i="16" s="1"/>
  <c r="AB173" i="30" l="1"/>
  <c r="AB210" i="30" s="1"/>
  <c r="Z337" i="39"/>
  <c r="Z2" i="16" s="1"/>
  <c r="Z350" i="39"/>
  <c r="Z3" i="16" s="1"/>
  <c r="Z376" i="39"/>
  <c r="Z5" i="16" s="1"/>
  <c r="Z6" i="16"/>
  <c r="Z363" i="39"/>
  <c r="Z4" i="16" s="1"/>
  <c r="Y428" i="39"/>
  <c r="Y9" i="16" s="1"/>
  <c r="Z165" i="14" s="1"/>
  <c r="Z166" i="14" s="1"/>
  <c r="AC173" i="30" l="1"/>
  <c r="AC210" i="30" s="1"/>
  <c r="AA337" i="39"/>
  <c r="AA2" i="16" s="1"/>
  <c r="AA363" i="39"/>
  <c r="AA4" i="16" s="1"/>
  <c r="AA350" i="39"/>
  <c r="AA3" i="16" s="1"/>
  <c r="AA376" i="39"/>
  <c r="AA5" i="16" s="1"/>
  <c r="AA6" i="16"/>
  <c r="Z173" i="14"/>
  <c r="Z174" i="14" s="1"/>
  <c r="Z428" i="39"/>
  <c r="Z9" i="16" s="1"/>
  <c r="AA173" i="14" s="1"/>
  <c r="AA174" i="14" s="1"/>
  <c r="AA165" i="14" l="1"/>
  <c r="AA166" i="14" s="1"/>
  <c r="AB6" i="16"/>
  <c r="AB337" i="39"/>
  <c r="AB2" i="16" s="1"/>
  <c r="AD173" i="30"/>
  <c r="AD210" i="30" s="1"/>
  <c r="AB350" i="39"/>
  <c r="AB3" i="16" s="1"/>
  <c r="AB363" i="39"/>
  <c r="AB4" i="16" s="1"/>
  <c r="AB376" i="39"/>
  <c r="AB5" i="16" s="1"/>
  <c r="AA428" i="39"/>
  <c r="AA9" i="16" s="1"/>
  <c r="AB173" i="14" s="1"/>
  <c r="AB174" i="14" s="1"/>
  <c r="AC376" i="39" l="1"/>
  <c r="AC5" i="16" s="1"/>
  <c r="AC6" i="16"/>
  <c r="AE173" i="30"/>
  <c r="AE210" i="30" s="1"/>
  <c r="AC337" i="39"/>
  <c r="AC2" i="16" s="1"/>
  <c r="AC350" i="39"/>
  <c r="AC3" i="16" s="1"/>
  <c r="AC363" i="39"/>
  <c r="AC4" i="16" s="1"/>
  <c r="AB428" i="39"/>
  <c r="AB9" i="16" s="1"/>
  <c r="AC165" i="14" s="1"/>
  <c r="AC166" i="14" s="1"/>
  <c r="AB165" i="14"/>
  <c r="AB166" i="14" s="1"/>
  <c r="AC428" i="39" l="1"/>
  <c r="AC9" i="16" s="1"/>
  <c r="AD165" i="14" s="1"/>
  <c r="AD166" i="14" s="1"/>
  <c r="AC173" i="14"/>
  <c r="AC174" i="14" s="1"/>
  <c r="AD363" i="39"/>
  <c r="AD4" i="16" s="1"/>
  <c r="AD376" i="39"/>
  <c r="AD5" i="16" s="1"/>
  <c r="AD6" i="16"/>
  <c r="AF173" i="30"/>
  <c r="AF210" i="30" s="1"/>
  <c r="AD337" i="39"/>
  <c r="AD2" i="16" s="1"/>
  <c r="AD350" i="39"/>
  <c r="AD3" i="16" s="1"/>
  <c r="AD428" i="39" l="1"/>
  <c r="AD9" i="16" s="1"/>
  <c r="AD173" i="14"/>
  <c r="AD174" i="14" s="1"/>
  <c r="AE350" i="39"/>
  <c r="AE3" i="16" s="1"/>
  <c r="AE363" i="39"/>
  <c r="AE4" i="16" s="1"/>
  <c r="AE376" i="39"/>
  <c r="AE5" i="16" s="1"/>
  <c r="AE6" i="16"/>
  <c r="AG173" i="30"/>
  <c r="AG210" i="30" s="1"/>
  <c r="AE337" i="39"/>
  <c r="AE2" i="16" s="1"/>
  <c r="AE173" i="14"/>
  <c r="AE174" i="14" s="1"/>
  <c r="AE165" i="14"/>
  <c r="AE166" i="14" s="1"/>
  <c r="AF337" i="39" l="1"/>
  <c r="AF2" i="16" s="1"/>
  <c r="AF350" i="39"/>
  <c r="AF3" i="16" s="1"/>
  <c r="AF363" i="39"/>
  <c r="AF4" i="16" s="1"/>
  <c r="AF376" i="39"/>
  <c r="AF5" i="16" s="1"/>
  <c r="AH173" i="30"/>
  <c r="AH210" i="30" s="1"/>
  <c r="AF6" i="16"/>
  <c r="AE428" i="39"/>
  <c r="AE9" i="16" s="1"/>
  <c r="AF165" i="14" s="1"/>
  <c r="AF166" i="14" s="1"/>
  <c r="AF428" i="39" l="1"/>
  <c r="AF9" i="16" s="1"/>
  <c r="AG165" i="14" s="1"/>
  <c r="AG166" i="14" s="1"/>
  <c r="AF173" i="14"/>
  <c r="AF174" i="14" s="1"/>
  <c r="AI173" i="30"/>
  <c r="AI210" i="30" s="1"/>
  <c r="AG337" i="39"/>
  <c r="AG2" i="16" s="1"/>
  <c r="AG350" i="39"/>
  <c r="AG3" i="16" s="1"/>
  <c r="AG363" i="39"/>
  <c r="AG4" i="16" s="1"/>
  <c r="AG6" i="16"/>
  <c r="AG376" i="39"/>
  <c r="AG5" i="16" s="1"/>
  <c r="AG428" i="39" l="1"/>
  <c r="AG9" i="16" s="1"/>
  <c r="AH173" i="14" s="1"/>
  <c r="AH174" i="14" s="1"/>
  <c r="AH165" i="14"/>
  <c r="AH166" i="14" s="1"/>
  <c r="AH337" i="39"/>
  <c r="AH2" i="16" s="1"/>
  <c r="AH350" i="39"/>
  <c r="AH3" i="16" s="1"/>
  <c r="AH376" i="39"/>
  <c r="AH5" i="16" s="1"/>
  <c r="AH363" i="39"/>
  <c r="AH4" i="16" s="1"/>
  <c r="AH6" i="16"/>
  <c r="AG173" i="14"/>
  <c r="AG174" i="14" s="1"/>
  <c r="AH428" i="39" l="1"/>
  <c r="AH9" i="16" s="1"/>
  <c r="AI173" i="14" s="1"/>
  <c r="AI174" i="14" s="1"/>
  <c r="AI165" i="14" l="1"/>
  <c r="AI166" i="14" s="1"/>
</calcChain>
</file>

<file path=xl/comments1.xml><?xml version="1.0" encoding="utf-8"?>
<comments xmlns="http://schemas.openxmlformats.org/spreadsheetml/2006/main">
  <authors>
    <author>Microsoft Office User</author>
  </authors>
  <commentList>
    <comment ref="B17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Trend analysis had coal going negative so use national projections
</t>
        </r>
      </text>
    </comment>
  </commentList>
</comments>
</file>

<file path=xl/comments2.xml><?xml version="1.0" encoding="utf-8"?>
<comments xmlns="http://schemas.openxmlformats.org/spreadsheetml/2006/main">
  <authors>
    <author>Microsoft Office User</author>
  </authors>
  <commentList>
    <comment ref="CD22"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is pretty much the only category that has any onsite carrier generation/consumption (MECS looks at net electricity) 
</t>
        </r>
        <r>
          <rPr>
            <sz val="10"/>
            <color rgb="FF000000"/>
            <rFont val="Tahoma"/>
            <family val="2"/>
          </rPr>
          <t xml:space="preserve">
</t>
        </r>
        <r>
          <rPr>
            <sz val="10"/>
            <color rgb="FF000000"/>
            <rFont val="Tahoma"/>
            <family val="2"/>
          </rPr>
          <t>so this is really the only category where 'onsite' generation needs to be corrected at this point</t>
        </r>
      </text>
    </comment>
    <comment ref="BG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Assume petcoke is offsite for industries other than refining </t>
        </r>
      </text>
    </comment>
    <comment ref="BJ23" authorId="0" shapeId="0">
      <text>
        <r>
          <rPr>
            <b/>
            <sz val="10"/>
            <color rgb="FF000000"/>
            <rFont val="Tahoma"/>
            <family val="2"/>
          </rPr>
          <t>Microsoft Office User:</t>
        </r>
        <r>
          <rPr>
            <sz val="10"/>
            <color rgb="FF000000"/>
            <rFont val="Tahoma"/>
            <family val="2"/>
          </rPr>
          <t xml:space="preserve">
</t>
        </r>
        <r>
          <rPr>
            <sz val="10"/>
            <color rgb="FF000000"/>
            <rFont val="Tahoma"/>
            <family val="2"/>
          </rPr>
          <t>assume this is all onsite generated/consumed</t>
        </r>
      </text>
    </comment>
    <comment ref="BR23" authorId="0" shapeId="0">
      <text>
        <r>
          <rPr>
            <b/>
            <sz val="10"/>
            <color rgb="FF000000"/>
            <rFont val="Tahoma"/>
            <family val="2"/>
          </rPr>
          <t>Microsoft Office User:</t>
        </r>
        <r>
          <rPr>
            <sz val="10"/>
            <color rgb="FF000000"/>
            <rFont val="Tahoma"/>
            <family val="2"/>
          </rPr>
          <t xml:space="preserve">
</t>
        </r>
        <r>
          <rPr>
            <sz val="10"/>
            <color rgb="FF000000"/>
            <rFont val="Tahoma"/>
            <family val="2"/>
          </rPr>
          <t>this has offsite petcoke added in</t>
        </r>
      </text>
    </comment>
    <comment ref="CE23"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this has offsite petcoke added in
</t>
        </r>
        <r>
          <rPr>
            <sz val="10"/>
            <color rgb="FF000000"/>
            <rFont val="Tahoma"/>
            <family val="2"/>
          </rPr>
          <t xml:space="preserve">
</t>
        </r>
        <r>
          <rPr>
            <sz val="10"/>
            <color rgb="FF000000"/>
            <rFont val="Tahoma"/>
            <family val="2"/>
          </rPr>
          <t>also MECS shows essentially none of this as feedstock in refineries, which checks out because it's a product</t>
        </r>
      </text>
    </comment>
    <comment ref="BR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here because can can assume onsite oil is generated and consumed onsite</t>
        </r>
      </text>
    </comment>
    <comment ref="BT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 good portion of total HGL fuel use is onsite (i.e. generated and consumed)  in refining industry</t>
        </r>
      </text>
    </comment>
    <comment ref="CE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fuel for this becasue can assume refineries won't purchase their own products</t>
        </r>
      </text>
    </comment>
    <comment ref="CG50" authorId="0" shapeId="0">
      <text>
        <r>
          <rPr>
            <b/>
            <sz val="10"/>
            <color rgb="FF000000"/>
            <rFont val="Tahoma"/>
            <family val="2"/>
          </rPr>
          <t>Microsoft Office User:</t>
        </r>
        <r>
          <rPr>
            <sz val="10"/>
            <color rgb="FF000000"/>
            <rFont val="Tahoma"/>
            <family val="2"/>
          </rPr>
          <t xml:space="preserve">
</t>
        </r>
        <r>
          <rPr>
            <sz val="10"/>
            <color rgb="FF000000"/>
            <rFont val="Tahoma"/>
            <family val="2"/>
          </rPr>
          <t>Use offsite here because assume refineries won't buy their own products</t>
        </r>
      </text>
    </comment>
    <comment ref="M51"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153-1504 was -1, forced to 0
</t>
        </r>
      </text>
    </comment>
    <comment ref="AY51" authorId="0" shapeId="0">
      <text>
        <r>
          <rPr>
            <b/>
            <sz val="10"/>
            <color rgb="FF000000"/>
            <rFont val="Tahoma"/>
            <family val="2"/>
          </rPr>
          <t>Microsoft Office User:</t>
        </r>
        <r>
          <rPr>
            <sz val="10"/>
            <color rgb="FF000000"/>
            <rFont val="Tahoma"/>
            <family val="2"/>
          </rPr>
          <t xml:space="preserve">
</t>
        </r>
        <r>
          <rPr>
            <sz val="10"/>
            <color rgb="FF000000"/>
            <rFont val="Tahoma"/>
            <family val="2"/>
          </rPr>
          <t>Originally said 4, and seems offiste but wast oils we will assume are generated and consumed onsite so force 0</t>
        </r>
      </text>
    </comment>
    <comment ref="AZ54"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The initial Chemicals row summed to 1043, about half of the actual industry's usage. To balance with the reported total, I split the 1043 difference between the industry total and sum of individual components. Assumed a 1:2 balance between electricity and natural gas. </t>
        </r>
      </text>
    </comment>
    <comment ref="F134" authorId="0" shapeId="0">
      <text>
        <r>
          <rPr>
            <b/>
            <sz val="10"/>
            <color rgb="FF000000"/>
            <rFont val="Tahoma"/>
            <family val="2"/>
          </rPr>
          <t>Microsoft Office User:</t>
        </r>
        <r>
          <rPr>
            <sz val="10"/>
            <color rgb="FF000000"/>
            <rFont val="Tahoma"/>
            <family val="2"/>
          </rPr>
          <t xml:space="preserve">
</t>
        </r>
        <r>
          <rPr>
            <sz val="10"/>
            <color rgb="FF000000"/>
            <rFont val="Tahoma"/>
            <family val="2"/>
          </rPr>
          <t>multiply fuel consumption by the ratio of feedstock to fuel energy use determined in the box above</t>
        </r>
      </text>
    </comment>
    <comment ref="G140"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TOTAL petcoke, 98% of which is considered offsite based on comparing offsite 'other' energy use and table 3.5</t>
        </r>
      </text>
    </comment>
    <comment ref="G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estimated onsite renewable generation on farms
</t>
        </r>
      </text>
    </comment>
    <comment ref="H149"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Subtract out the estimate for on-farm enewable electricity generation (net electricity includes this but SEDS shows 'sales' so don't want to overestimate for ag and underestimate net elec for other industries
</t>
        </r>
        <r>
          <rPr>
            <sz val="10"/>
            <color rgb="FF000000"/>
            <rFont val="Tahoma"/>
            <family val="2"/>
          </rPr>
          <t xml:space="preserve">
</t>
        </r>
      </text>
    </comment>
    <comment ref="G154"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'waste oil' from table 3.5, all of which is considered onsite, so heavy/residual fuel oil should be scaled down before splitting between industries</t>
        </r>
      </text>
    </comment>
    <comment ref="H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other category is retail sales, which is what this variable is interested in</t>
        </r>
      </text>
    </comment>
    <comment ref="K184" authorId="0" shapeId="0">
      <text>
        <r>
          <rPr>
            <b/>
            <sz val="10"/>
            <color rgb="FF000000"/>
            <rFont val="Tahoma"/>
            <family val="2"/>
          </rPr>
          <t>Microsoft Office User:</t>
        </r>
        <r>
          <rPr>
            <sz val="10"/>
            <color rgb="FF000000"/>
            <rFont val="Tahoma"/>
            <family val="2"/>
          </rPr>
          <t xml:space="preserve">
</t>
        </r>
        <r>
          <rPr>
            <sz val="10"/>
            <color rgb="FF000000"/>
            <rFont val="Tahoma"/>
            <family val="2"/>
          </rPr>
          <t>Not considered because this category is considered to be generated and consumed onsite in wood/paper manufacturing processes</t>
        </r>
      </text>
    </comment>
    <comment ref="I196"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scaled down to remove onsite waste oil (all waste oil is assumed to be generated and consumed onsite)</t>
        </r>
      </text>
    </comment>
    <comment ref="A356" authorId="0" shapeId="0">
      <text>
        <r>
          <rPr>
            <b/>
            <sz val="10"/>
            <color rgb="FF000000"/>
            <rFont val="Tahoma"/>
            <family val="2"/>
          </rPr>
          <t>Microsoft Office User:</t>
        </r>
        <r>
          <rPr>
            <sz val="10"/>
            <color rgb="FF000000"/>
            <rFont val="Tahoma"/>
            <family val="2"/>
          </rPr>
          <t xml:space="preserve">
</t>
        </r>
        <r>
          <rPr>
            <sz val="10"/>
            <color rgb="FF000000"/>
            <rFont val="Tahoma"/>
            <family val="2"/>
          </rPr>
          <t xml:space="preserve">should these be 0 because onsite from refineries?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MECS has like 0 RFO consumption as feedstock at refineries and the fuel consumption table matches with offsite produced fuel consumption table 
</t>
        </r>
        <r>
          <rPr>
            <sz val="10"/>
            <color rgb="FF000000"/>
            <rFont val="Tahoma"/>
            <family val="2"/>
          </rPr>
          <t xml:space="preserve">
</t>
        </r>
        <r>
          <rPr>
            <sz val="10"/>
            <color rgb="FF000000"/>
            <rFont val="Tahoma"/>
            <family val="2"/>
          </rPr>
          <t>AKA these values are offsite</t>
        </r>
      </text>
    </comment>
  </commentList>
</comments>
</file>

<file path=xl/sharedStrings.xml><?xml version="1.0" encoding="utf-8"?>
<sst xmlns="http://schemas.openxmlformats.org/spreadsheetml/2006/main" count="6019" uniqueCount="1355">
  <si>
    <t>Year</t>
  </si>
  <si>
    <t xml:space="preserve">   Total</t>
  </si>
  <si>
    <t>Energy Information Administration</t>
  </si>
  <si>
    <t>Model subscript</t>
  </si>
  <si>
    <t>cement and other carbonate use</t>
  </si>
  <si>
    <t>natural gas and petroleum systems</t>
  </si>
  <si>
    <t>iron and steel</t>
  </si>
  <si>
    <t>chemicals</t>
  </si>
  <si>
    <t>waste management</t>
  </si>
  <si>
    <t>other industries</t>
  </si>
  <si>
    <t>Note</t>
  </si>
  <si>
    <t>mining</t>
  </si>
  <si>
    <t xml:space="preserve"> Distillate Fuel Oil</t>
  </si>
  <si>
    <t xml:space="preserve"> Residual Fuel Oil</t>
  </si>
  <si>
    <t xml:space="preserve"> Liquefied Petroleum Gases</t>
  </si>
  <si>
    <t xml:space="preserve"> Petroleum Coke</t>
  </si>
  <si>
    <t xml:space="preserve"> Other Petroleum 2/</t>
  </si>
  <si>
    <t xml:space="preserve"> Natural Gas</t>
  </si>
  <si>
    <t xml:space="preserve"> Steam Coal</t>
  </si>
  <si>
    <t xml:space="preserve"> Metallurgical Coal</t>
  </si>
  <si>
    <t xml:space="preserve">   Coal Subtotal</t>
  </si>
  <si>
    <t xml:space="preserve"> Renewables</t>
  </si>
  <si>
    <t xml:space="preserve"> Purchased Electricity</t>
  </si>
  <si>
    <t xml:space="preserve"> Still Gas</t>
  </si>
  <si>
    <t xml:space="preserve">    of which:  Heat and Power</t>
  </si>
  <si>
    <t xml:space="preserve">    of which:  Feedstocks</t>
  </si>
  <si>
    <t xml:space="preserve">    of which:  Gas-to-Liquids Heat</t>
  </si>
  <si>
    <t xml:space="preserve"> Steam Coal 3/</t>
  </si>
  <si>
    <t>Table</t>
  </si>
  <si>
    <t xml:space="preserve"> Net Coke Imports</t>
  </si>
  <si>
    <t xml:space="preserve">    Residual Fuel Oil</t>
  </si>
  <si>
    <t xml:space="preserve">    Distillate Fuel Oil</t>
  </si>
  <si>
    <t xml:space="preserve">    Petroleum Coke</t>
  </si>
  <si>
    <t xml:space="preserve">    Other Petroleum 2/</t>
  </si>
  <si>
    <t xml:space="preserve">    Natural Gas</t>
  </si>
  <si>
    <t xml:space="preserve">    Steam Coal</t>
  </si>
  <si>
    <t xml:space="preserve">    Renewables</t>
  </si>
  <si>
    <t xml:space="preserve">    Purchased Electricity</t>
  </si>
  <si>
    <t xml:space="preserve">      Total Heat and Power</t>
  </si>
  <si>
    <t xml:space="preserve">      Residual Fuel Oil</t>
  </si>
  <si>
    <t xml:space="preserve">      Distillate Fuel Oil</t>
  </si>
  <si>
    <t xml:space="preserve">      Motor Gasoline</t>
  </si>
  <si>
    <t xml:space="preserve">      Other Petroleum 1/</t>
  </si>
  <si>
    <t xml:space="preserve">      Natural Gas</t>
  </si>
  <si>
    <t xml:space="preserve">      Steam Coal</t>
  </si>
  <si>
    <t xml:space="preserve">      Renewables</t>
  </si>
  <si>
    <t xml:space="preserve">      Purchased Electricity excluding Oil Shale</t>
  </si>
  <si>
    <t xml:space="preserve">      Purchased Electricity for Oil Shale</t>
  </si>
  <si>
    <t xml:space="preserve">         Total</t>
  </si>
  <si>
    <t xml:space="preserve">      Purchased Electricity</t>
  </si>
  <si>
    <t>agriculture</t>
  </si>
  <si>
    <t xml:space="preserve">   Distillate Fuel Oil</t>
  </si>
  <si>
    <t xml:space="preserve">   Residual Fuel Oil</t>
  </si>
  <si>
    <t xml:space="preserve">   Petrochemical Feedstocks</t>
  </si>
  <si>
    <t xml:space="preserve">     Natural Gas Subtotal</t>
  </si>
  <si>
    <t xml:space="preserve">   Other Industrial Coal</t>
  </si>
  <si>
    <t xml:space="preserve">     Coal Subtotal</t>
  </si>
  <si>
    <t xml:space="preserve">     Delivered Energy</t>
  </si>
  <si>
    <t xml:space="preserve">   Electricity Related Losses</t>
  </si>
  <si>
    <t xml:space="preserve">     Total</t>
  </si>
  <si>
    <t>http://iopscience.iop.org/1748-9326/7/3/034034/media/erl426087suppdata.pdf</t>
  </si>
  <si>
    <t>Sources:</t>
  </si>
  <si>
    <t>All Subscripts Except Waste Management</t>
  </si>
  <si>
    <t>Waste Management (2010)</t>
  </si>
  <si>
    <t>U.S. Census Bureau</t>
  </si>
  <si>
    <t>wastewater only (2010)</t>
  </si>
  <si>
    <t>Sanders, Kelly and Webber, Michael.</t>
  </si>
  <si>
    <t>Evaluating the energy consumed for water use in the United States</t>
  </si>
  <si>
    <t>Supplementary data, Page 6, Paragraph 1</t>
  </si>
  <si>
    <t>Sanders and Webber 2012 plus population estimates (U.S. Census Bureau)</t>
  </si>
  <si>
    <t>Note:</t>
  </si>
  <si>
    <t>electricity and non-electric energy from renewable sources.  We do not include this line</t>
  </si>
  <si>
    <t>in electricity fuel use, because that total is used to calculate demand for electricity from</t>
  </si>
  <si>
    <t>the Electricity Supply sector (and therefore should exclude on-site generation).</t>
  </si>
  <si>
    <t>Since the AEO doesn't break down this category into solar, wind, biomass, etc. we do not</t>
  </si>
  <si>
    <t>know how much on-site renewables generation was from biomass.  We assume the vast</t>
  </si>
  <si>
    <t>majority is from solar, small wind turbines, etc. and only assign the "Biofuels Heat and</t>
  </si>
  <si>
    <t>fuel usage by the Industry Sector.</t>
  </si>
  <si>
    <t>No information is provided on district heat usage for industry.  We assume this usage is zero.</t>
  </si>
  <si>
    <t>(Heat generated on-site is not district heat.)</t>
  </si>
  <si>
    <t xml:space="preserve"> Propane</t>
  </si>
  <si>
    <t xml:space="preserve">   Petroleum and Other Liquids Subtotal</t>
  </si>
  <si>
    <t>Cement and Lime Industry Energy Consumption (trillion BTU) from Table 30</t>
  </si>
  <si>
    <t>Refining Industry Energy Consumption (trillion BTU) from Table 25</t>
  </si>
  <si>
    <t>Iron and Steel Industry Energy Use (trillion BTU) from Table 31</t>
  </si>
  <si>
    <t>Chemicals Industry Energy Use for Heat and Power (trillion BTU) from Table 28</t>
  </si>
  <si>
    <t xml:space="preserve">    Propane</t>
  </si>
  <si>
    <t xml:space="preserve">      Petroleum and Other Liquids Subtotal</t>
  </si>
  <si>
    <t xml:space="preserve">         Petroleum and Other Liquids Subtotal</t>
  </si>
  <si>
    <t>Mining Energy Use (trillion BTU) from Table 35</t>
  </si>
  <si>
    <t>U.S. Population</t>
  </si>
  <si>
    <t>2010 Primary Energy (assumed to be elec.)</t>
  </si>
  <si>
    <t>U.S. Population (2010)</t>
  </si>
  <si>
    <t>Primary Energy Use (assumed to be elec.)</t>
  </si>
  <si>
    <t>Wastewater Energy Use (trillion BTU), Sanders and Webber</t>
  </si>
  <si>
    <t>Agriculture Energy Use (trillion BTU) from Table 35</t>
  </si>
  <si>
    <t xml:space="preserve">      Propane</t>
  </si>
  <si>
    <t xml:space="preserve">     Petroleum and Other Liquids Subtotal</t>
  </si>
  <si>
    <t>Table 30</t>
  </si>
  <si>
    <t>Table 31</t>
  </si>
  <si>
    <t>Table 28</t>
  </si>
  <si>
    <t>Table 35</t>
  </si>
  <si>
    <t>Note that fuel usage from our EIA source for this variable includes fuel used for non-energy purposes.</t>
  </si>
  <si>
    <t>Any emissions associated with non-energy uses of fuel are already included in the "BPEiC BAU</t>
  </si>
  <si>
    <t>Process Emissions in CO2e" variable, so we need to remove non-energy fuel use from the total Industrial</t>
  </si>
  <si>
    <t xml:space="preserve">      Lease and Plant Fuel 2/</t>
  </si>
  <si>
    <t>Population</t>
  </si>
  <si>
    <t>Table 1</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</si>
  <si>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</si>
  <si>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</si>
  <si>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</si>
  <si>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</si>
  <si>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https://www2.census.gov/programs-surveys/popproj/tables/2017/2017-summary-tables/np2017-t1.xlsx</t>
  </si>
  <si>
    <t>2017 National Population Projections: Summary Tables</t>
  </si>
  <si>
    <t>Fuel Use.  This is handled in Vensim using a separate variable, "PoFUfE Proportion of</t>
  </si>
  <si>
    <t>Note that Lease and Plant Fuel under Mining is actually natural gas consumed in wells and fields.</t>
  </si>
  <si>
    <t>We count this in the Natural Gas and Petroleum Systems sub industry and not in mining.</t>
  </si>
  <si>
    <t xml:space="preserve"> Biofuels Heat and Coproducts</t>
  </si>
  <si>
    <t>Annual Energy Outlook 2019</t>
  </si>
  <si>
    <t>Heat and Power</t>
  </si>
  <si>
    <t>Feedstock</t>
  </si>
  <si>
    <t xml:space="preserve">    Liquefied Petroleum Gases and Other 3/</t>
  </si>
  <si>
    <t xml:space="preserve">    Petrochemical Feedstocks</t>
  </si>
  <si>
    <t xml:space="preserve">      Total Feedstocks</t>
  </si>
  <si>
    <t>Calculated Total</t>
  </si>
  <si>
    <t>Total Less Metallurgical Coal and renewables</t>
  </si>
  <si>
    <t>Coproducts" column to the Biomass fuel type.  This may slightly under-estimate biomass</t>
  </si>
  <si>
    <t>This variable is for energy purchased and consumed by the Industry sector.</t>
  </si>
  <si>
    <t>(e.g. entirely within an industrial facility) should not be included in this variable.</t>
  </si>
  <si>
    <t>Any energy carrier (electricity, heat, hydrogen) demand entered here will be</t>
  </si>
  <si>
    <t>supplied by the electricity, district heat, or hydrogen supply sectors respectively.</t>
  </si>
  <si>
    <t>This Variable Excludes All On-Site Energy Carrier Generation (Electricity, Heat, Hydrogen)</t>
  </si>
  <si>
    <t>The "Renewables" rows in the U.S. source data are for on-site generation, including both</t>
  </si>
  <si>
    <t>Electricity</t>
  </si>
  <si>
    <t>Coal</t>
  </si>
  <si>
    <t>Natural Gas</t>
  </si>
  <si>
    <t>Biomass</t>
  </si>
  <si>
    <t>Calcualted Total</t>
  </si>
  <si>
    <t>Petroleum</t>
  </si>
  <si>
    <t>HFO</t>
  </si>
  <si>
    <t>LPG</t>
  </si>
  <si>
    <t>Difference</t>
  </si>
  <si>
    <t>ref2019.d111618a</t>
  </si>
  <si>
    <t>Report</t>
  </si>
  <si>
    <t>Scenario</t>
  </si>
  <si>
    <t>ref2019</t>
  </si>
  <si>
    <t>Reference case</t>
  </si>
  <si>
    <t>Datekey</t>
  </si>
  <si>
    <t>d111618a</t>
  </si>
  <si>
    <t>Release Date</t>
  </si>
  <si>
    <t xml:space="preserve"> January 2019</t>
  </si>
  <si>
    <t>11. Petroleum and Other Liquids Supply and Disposition</t>
  </si>
  <si>
    <t>(million barrels per day, unless otherwise noted)</t>
  </si>
  <si>
    <t/>
  </si>
  <si>
    <t>2018-</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</si>
  <si>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</si>
  <si>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</si>
  <si>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</si>
  <si>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</si>
  <si>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</si>
  <si>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</si>
  <si>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</si>
  <si>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</si>
  <si>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</si>
  <si>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t>
  </si>
  <si>
    <t xml:space="preserve">     Total Crude Supply</t>
  </si>
  <si>
    <t xml:space="preserve">   - - = Not applicable.</t>
  </si>
  <si>
    <t>2018:  EIA, Short-Term Energy Outlook, October 2018 and EIA, AEO2019 National Energy Modeling System run ref2019.d111618a.</t>
  </si>
  <si>
    <t>Projections:  EIA, AEO2019 National Energy Modeling System run ref2019.d111618a.</t>
  </si>
  <si>
    <t>BTUs</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</si>
  <si>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</si>
  <si>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</si>
  <si>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</si>
  <si>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</si>
  <si>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</si>
  <si>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</si>
  <si>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</si>
  <si>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</si>
  <si>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</si>
  <si>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</si>
  <si>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</si>
  <si>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</si>
  <si>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</si>
  <si>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</si>
  <si>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</si>
  <si>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</si>
  <si>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</si>
  <si>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</si>
  <si>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</si>
  <si>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</si>
  <si>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</si>
  <si>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</si>
  <si>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</si>
  <si>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</si>
  <si>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</si>
  <si>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</si>
  <si>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</si>
  <si>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</si>
  <si>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</si>
  <si>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</si>
  <si>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</si>
  <si>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</si>
  <si>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</si>
  <si>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</si>
  <si>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</si>
  <si>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</si>
  <si>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</si>
  <si>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</si>
  <si>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</si>
  <si>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</si>
  <si>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</si>
  <si>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</si>
  <si>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</si>
  <si>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</si>
  <si>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</si>
  <si>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</si>
  <si>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</si>
  <si>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</si>
  <si>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</si>
  <si>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</si>
  <si>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</si>
  <si>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</si>
  <si>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</si>
  <si>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</si>
  <si>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</si>
  <si>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</si>
  <si>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</si>
  <si>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</si>
  <si>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</si>
  <si>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</si>
  <si>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</si>
  <si>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</si>
  <si>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</si>
  <si>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</si>
  <si>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</si>
  <si>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</si>
  <si>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</si>
  <si>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</si>
  <si>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</si>
  <si>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</si>
  <si>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</si>
  <si>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</si>
  <si>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</si>
  <si>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</si>
  <si>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</si>
  <si>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</si>
  <si>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</si>
  <si>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</si>
  <si>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</si>
  <si>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</si>
  <si>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</si>
  <si>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</si>
  <si>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</si>
  <si>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</si>
  <si>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</si>
  <si>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</si>
  <si>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</si>
  <si>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</si>
  <si>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</si>
  <si>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</si>
  <si>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</si>
  <si>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</si>
  <si>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</si>
  <si>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</si>
  <si>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</si>
  <si>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</si>
  <si>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</si>
  <si>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</si>
  <si>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</si>
  <si>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</si>
  <si>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</si>
  <si>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</si>
  <si>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</si>
  <si>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</si>
  <si>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</si>
  <si>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</si>
  <si>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</si>
  <si>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</si>
  <si>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</si>
  <si>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</si>
  <si>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</si>
  <si>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</si>
  <si>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</si>
  <si>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</si>
  <si>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</si>
  <si>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</si>
  <si>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</si>
  <si>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</si>
  <si>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</si>
  <si>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25. Refining Industry Energy Consumption</t>
  </si>
  <si>
    <t xml:space="preserve"> Shipments, Energy Consumption, and Emissions</t>
  </si>
  <si>
    <t>Value of Shipments (billion 2009 dollars)</t>
  </si>
  <si>
    <t>Inputs to Distillation Units</t>
  </si>
  <si>
    <t>(million barrels per day)</t>
  </si>
  <si>
    <t>Total Energy Consumption (trillion Btu) 1/</t>
  </si>
  <si>
    <t>Carbon Dioxide Emissions 4/</t>
  </si>
  <si>
    <t>(million metric tons carbon dioxide)</t>
  </si>
  <si>
    <t>Energy Related to Refining Activity Only</t>
  </si>
  <si>
    <t xml:space="preserve">  Energy Consumption</t>
  </si>
  <si>
    <t xml:space="preserve">    Liquefied Petroleum Gases</t>
  </si>
  <si>
    <t xml:space="preserve">    Still Gas</t>
  </si>
  <si>
    <t xml:space="preserve">      Total</t>
  </si>
  <si>
    <t xml:space="preserve">  Carbon Dioxide Emissions 4/</t>
  </si>
  <si>
    <t xml:space="preserve">  (million metric tons carbon dioxide)</t>
  </si>
  <si>
    <t xml:space="preserve">  Energy Consumption per Unit of Refinery Input</t>
  </si>
  <si>
    <t xml:space="preserve">  (thousand Btu per barrel)</t>
  </si>
  <si>
    <t xml:space="preserve">    Steam Coal 3/</t>
  </si>
  <si>
    <t>Combined Heat and Power</t>
  </si>
  <si>
    <t xml:space="preserve">  Generating Capacity (gigawatts)</t>
  </si>
  <si>
    <t xml:space="preserve">    Petroleum</t>
  </si>
  <si>
    <t xml:space="preserve">    Coal 3/</t>
  </si>
  <si>
    <t xml:space="preserve">    Other 5/</t>
  </si>
  <si>
    <t xml:space="preserve">  Net Generation (billion kilowatthours)</t>
  </si>
  <si>
    <t xml:space="preserve">    Disposition</t>
  </si>
  <si>
    <t xml:space="preserve">      Sales to the Grid</t>
  </si>
  <si>
    <t xml:space="preserve">      Generation for Own Use</t>
  </si>
  <si>
    <t>Energy Consumed at Ethanol Plants</t>
  </si>
  <si>
    <t>(trillion Btu)</t>
  </si>
  <si>
    <t xml:space="preserve">  Natural Gas</t>
  </si>
  <si>
    <t xml:space="preserve">  Coal</t>
  </si>
  <si>
    <t xml:space="preserve">  Electricity</t>
  </si>
  <si>
    <t xml:space="preserve">    Total</t>
  </si>
  <si>
    <t>Calculations</t>
  </si>
  <si>
    <t>Crude Oil</t>
  </si>
  <si>
    <t xml:space="preserve">   Crude Oil</t>
  </si>
  <si>
    <t xml:space="preserve">   Propane Heat and Power</t>
  </si>
  <si>
    <t xml:space="preserve">   Liquefied Petroleum Gas and Other Feedstocks</t>
  </si>
  <si>
    <t xml:space="preserve">   Motor Gasoline</t>
  </si>
  <si>
    <t xml:space="preserve">   Petroleum Coke</t>
  </si>
  <si>
    <t xml:space="preserve">   Asphalt and Road Oil</t>
  </si>
  <si>
    <t xml:space="preserve">   Miscellaneous Petroleum 3/</t>
  </si>
  <si>
    <t xml:space="preserve">   Natural Gas Heat and Power</t>
  </si>
  <si>
    <t xml:space="preserve">   Natural Gas Feedstocks</t>
  </si>
  <si>
    <t xml:space="preserve">   Lease and Plant Fuel 4/</t>
  </si>
  <si>
    <t xml:space="preserve">   Natural Gas Liquefaction for Export 5/</t>
  </si>
  <si>
    <t xml:space="preserve">   Metallurgical Coal and Coke 6/</t>
  </si>
  <si>
    <t xml:space="preserve">   Renewables 7/</t>
  </si>
  <si>
    <t xml:space="preserve">   Purchased Electricity</t>
  </si>
  <si>
    <t xml:space="preserve"> Industrial Consumption Excluding Refining from Table 6</t>
  </si>
  <si>
    <t>biomass</t>
  </si>
  <si>
    <t>LPG/propane/butane</t>
  </si>
  <si>
    <t>Petroleum Diesel</t>
  </si>
  <si>
    <t>Heavy or Residual Oil</t>
  </si>
  <si>
    <t>Petroleum Fuels Categorization (mapped based on closest BTU Content)</t>
  </si>
  <si>
    <t>EPS Mapped Fuel</t>
  </si>
  <si>
    <t>TEF000</t>
  </si>
  <si>
    <t>37. Transportation Sector Energy Use by Fuel Type Within a Mode</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</si>
  <si>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</si>
  <si>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</si>
  <si>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</si>
  <si>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</si>
  <si>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</si>
  <si>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</si>
  <si>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</si>
  <si>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</si>
  <si>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</si>
  <si>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</si>
  <si>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TEF000:ba_LiquefiedPetr</t>
  </si>
  <si>
    <t xml:space="preserve">  Propane</t>
  </si>
  <si>
    <t>TEF000:ba_Electricity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</si>
  <si>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</si>
  <si>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</si>
  <si>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</si>
  <si>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</si>
  <si>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</si>
  <si>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</si>
  <si>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</si>
  <si>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</si>
  <si>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</si>
  <si>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</si>
  <si>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</si>
  <si>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</si>
  <si>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</si>
  <si>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</si>
  <si>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</si>
  <si>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</si>
  <si>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</si>
  <si>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</si>
  <si>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</si>
  <si>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</si>
  <si>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</si>
  <si>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</si>
  <si>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</si>
  <si>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</si>
  <si>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</si>
  <si>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</si>
  <si>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</si>
  <si>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</si>
  <si>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</si>
  <si>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</si>
  <si>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</si>
  <si>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</si>
  <si>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</si>
  <si>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</si>
  <si>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</si>
  <si>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</si>
  <si>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</si>
  <si>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</si>
  <si>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</si>
  <si>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</si>
  <si>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</si>
  <si>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</si>
  <si>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</si>
  <si>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</si>
  <si>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</si>
  <si>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</si>
  <si>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</si>
  <si>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</si>
  <si>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</si>
  <si>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</si>
  <si>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</si>
  <si>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</si>
  <si>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</si>
  <si>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</si>
  <si>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</si>
  <si>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</si>
  <si>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</si>
  <si>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</si>
  <si>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</si>
  <si>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</si>
  <si>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</si>
  <si>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</si>
  <si>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</si>
  <si>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</si>
  <si>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</si>
  <si>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</si>
  <si>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</si>
  <si>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</si>
  <si>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</si>
  <si>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</si>
  <si>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</si>
  <si>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</si>
  <si>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</si>
  <si>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</si>
  <si>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</si>
  <si>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</si>
  <si>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</si>
  <si>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</si>
  <si>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</si>
  <si>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</si>
  <si>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</si>
  <si>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</si>
  <si>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</si>
  <si>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</si>
  <si>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</si>
  <si>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</si>
  <si>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</si>
  <si>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</si>
  <si>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</si>
  <si>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</si>
  <si>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</si>
  <si>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</si>
  <si>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</si>
  <si>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</si>
  <si>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</si>
  <si>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</si>
  <si>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</si>
  <si>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</si>
  <si>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</si>
  <si>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</si>
  <si>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</si>
  <si>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</si>
  <si>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</si>
  <si>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</si>
  <si>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</si>
  <si>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</si>
  <si>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</si>
  <si>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</si>
  <si>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</si>
  <si>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</si>
  <si>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</si>
  <si>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</si>
  <si>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</si>
  <si>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</si>
  <si>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</si>
  <si>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</si>
  <si>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</si>
  <si>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</si>
  <si>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</si>
  <si>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</si>
  <si>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</si>
  <si>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</si>
  <si>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</si>
  <si>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</si>
  <si>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</si>
  <si>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</si>
  <si>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</si>
  <si>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</si>
  <si>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</si>
  <si>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</si>
  <si>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</si>
  <si>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</si>
  <si>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</si>
  <si>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</si>
  <si>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</si>
  <si>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Industry Total Energy Use (Quadrillion BTU) adjusted for Refineries, Pipelines, and Military</t>
  </si>
  <si>
    <t>Table 11, Table 25, Table 35, Table 37</t>
  </si>
  <si>
    <t>Calculated crude in from Tables 11 and 25. Lease and plant fuel taken from Table 35. Pipline fuel natural gas taken from Table 37.</t>
  </si>
  <si>
    <t>https://www.eia.gov/outlooks/aeo/tables_ref.php</t>
  </si>
  <si>
    <t>We intentionally exclude metallurgical coal</t>
  </si>
  <si>
    <t>Table 2, Table 37</t>
  </si>
  <si>
    <t>Industry total minus the industries above plus military fuel use</t>
  </si>
  <si>
    <t>Secondary energy, including electricity, heat, or hydrogen that is generated on-site and also consumed on-site</t>
  </si>
  <si>
    <t>We also add in pipeline natural gas fuel use, which EIA categorizes under the transportation sector.</t>
  </si>
  <si>
    <t>Finally, we add in fuel used by the military, which is under transportation in EIA's data but</t>
  </si>
  <si>
    <t>we assign to the other industries category.</t>
  </si>
  <si>
    <t>For refineries, we estimate crude oil in by taking a weighted average of the energy content of</t>
  </si>
  <si>
    <t>domestic and imported crude and multiplying by the fuel going into distillation units. We add the fuel used</t>
  </si>
  <si>
    <t>by ethanol plants back into the total for industry as well.</t>
  </si>
  <si>
    <t>oil and gas mining</t>
  </si>
  <si>
    <t>coal mining</t>
  </si>
  <si>
    <t>metals and minerals mining</t>
  </si>
  <si>
    <t>The EIA AEO "Mining" industry includes the following types of mining, which belong to</t>
  </si>
  <si>
    <t>different EPS industry categories</t>
  </si>
  <si>
    <t>Type of Mining</t>
  </si>
  <si>
    <t>EPS Industry Category</t>
  </si>
  <si>
    <t>Therefore, we need to divide up energy use into these three groups.</t>
  </si>
  <si>
    <t>metals mining</t>
  </si>
  <si>
    <t>minerals mining</t>
  </si>
  <si>
    <t>https://www.energy.gov/sites/prod/files/2013/11/f4/mining_bandwidth.pdf</t>
  </si>
  <si>
    <t>Mining Industry Breakout: Coal, Metals, Minerals</t>
  </si>
  <si>
    <t>U.S. DOE</t>
  </si>
  <si>
    <t>Mining Industry Energy Bandwidth Study</t>
  </si>
  <si>
    <t>Diesel</t>
  </si>
  <si>
    <t>Gasoline</t>
  </si>
  <si>
    <t>It also specifies energy use shares for these industries (p. 7)</t>
  </si>
  <si>
    <t>T BTU/yr</t>
  </si>
  <si>
    <t>U.S. DOE Mining Industry Energy Bandwidth Study (2007)</t>
  </si>
  <si>
    <t>Breaks down mining energy use as follows (p. 2)</t>
  </si>
  <si>
    <t>Page 2, Exhibit 2</t>
  </si>
  <si>
    <t>Aggregate coal mine production for total Annual</t>
  </si>
  <si>
    <t>https://www.eia.gov/coal/data/browser/#/topic/33?agg=2</t>
  </si>
  <si>
    <t>21:29:16 GMT-0700 (Pacific Daylight Time)</t>
  </si>
  <si>
    <t>Source: U.S. Energy Information Administration</t>
  </si>
  <si>
    <t>All coal : United States short tons</t>
  </si>
  <si>
    <t>Data from EIA Coal Data Browser</t>
  </si>
  <si>
    <t>Assuming constant efficiency, estimated coal mining energy use in 2017 is:</t>
  </si>
  <si>
    <t>T BTU</t>
  </si>
  <si>
    <t>Metals Mining Scaling 2007 to 2017</t>
  </si>
  <si>
    <t>Coal Mining Scaling from 2007 to 2017</t>
  </si>
  <si>
    <t>Data from Federal Reserve Bank FRED Economic Data</t>
  </si>
  <si>
    <t>FRED Graph Observations</t>
  </si>
  <si>
    <t>Federal Reserve Economic Data</t>
  </si>
  <si>
    <t>Link: https://fred.stlouisfed.org</t>
  </si>
  <si>
    <t>Help: https://fred.stlouisfed.org/help-faq</t>
  </si>
  <si>
    <t>Economic Research Division</t>
  </si>
  <si>
    <t>Federal Reserve Bank of St. Louis</t>
  </si>
  <si>
    <t>IPG21223NQ</t>
  </si>
  <si>
    <t>Industrial Production: Mining: Copper, nickel, lead, and zinc mining, Index 2012=100, Quarterly, Not Seasonally Adjusted</t>
  </si>
  <si>
    <t>Frequency: Quarterly</t>
  </si>
  <si>
    <t>observation_date</t>
  </si>
  <si>
    <t>Low R^2 value, trend is not significant</t>
  </si>
  <si>
    <t>We will also assume constant energy use for minerals mining.</t>
  </si>
  <si>
    <t>We will assume constant energy use for metals mining.</t>
  </si>
  <si>
    <t>coal mining energy use in 2017</t>
  </si>
  <si>
    <t>metals and minerals mining energy use in 2017</t>
  </si>
  <si>
    <t>Mining Energy Use by Mining Sub-Sector (2017)</t>
  </si>
  <si>
    <t>Total</t>
  </si>
  <si>
    <t>Notes</t>
  </si>
  <si>
    <t>We assign all lease and plant fuel to oil and gas mining</t>
  </si>
  <si>
    <t>We assign all coal to coal mining</t>
  </si>
  <si>
    <t>Total from above</t>
  </si>
  <si>
    <t>Assigning Energy Use by Fuel Type (2017)</t>
  </si>
  <si>
    <t>Coal, Metal, and Minerals Fuel Use Percentages Excluding Coal</t>
  </si>
  <si>
    <t>Resulting Fuel Assignments</t>
  </si>
  <si>
    <t>Lastly, we assign percentages of each EIA fuel type to each of the three mining sub-industries</t>
  </si>
  <si>
    <t>Cement and other carbonate use</t>
  </si>
  <si>
    <t>Natural gas and petroleum systems</t>
  </si>
  <si>
    <t>Iron and steel</t>
  </si>
  <si>
    <t>Chemicals</t>
  </si>
  <si>
    <t>Coal Mining</t>
  </si>
  <si>
    <t>Water + Waste</t>
  </si>
  <si>
    <t>Agriculture</t>
  </si>
  <si>
    <t>Other industries</t>
  </si>
  <si>
    <t>BTU/yr</t>
  </si>
  <si>
    <t>Oil and Gas Mining Energy Use</t>
  </si>
  <si>
    <t>Coal Mining Energy Use</t>
  </si>
  <si>
    <t>We have to round to avoid a negative number here, so 2017 fuel use totals in the big tables below</t>
  </si>
  <si>
    <t>will be slightly different than the three, green calculated values above.</t>
  </si>
  <si>
    <t>Metals and Minerals Mining Energy Use</t>
  </si>
  <si>
    <t>U.S. Federal Reserve Bank of St. Louis</t>
  </si>
  <si>
    <t>https://fred.stlouisfed.org/series/IPG21223NQ</t>
  </si>
  <si>
    <t>Metals and minerals mining historical production for scaling</t>
  </si>
  <si>
    <t>Coal mining historical production for scaling</t>
  </si>
  <si>
    <t>U.S. EIA</t>
  </si>
  <si>
    <t>Coal Data Browser</t>
  </si>
  <si>
    <t xml:space="preserve">Fuel Used for Energy."  </t>
  </si>
  <si>
    <t>Released: October 2017</t>
  </si>
  <si>
    <t>Next MECS will be fielded in 2019</t>
  </si>
  <si>
    <t xml:space="preserve">                        Level: National and Regional Data; </t>
  </si>
  <si>
    <t xml:space="preserve"> </t>
  </si>
  <si>
    <t>South Census Region</t>
  </si>
  <si>
    <t>NAICS</t>
  </si>
  <si>
    <t>Residual</t>
  </si>
  <si>
    <t>Distillate</t>
  </si>
  <si>
    <t>Natural</t>
  </si>
  <si>
    <t>HGL (excluding</t>
  </si>
  <si>
    <t>Coke</t>
  </si>
  <si>
    <t>Net</t>
  </si>
  <si>
    <t>Code(a)</t>
  </si>
  <si>
    <t>Subsector and Industry</t>
  </si>
  <si>
    <t>Electricity(b)</t>
  </si>
  <si>
    <t>Fuel Oil</t>
  </si>
  <si>
    <t>Fuel Oil(c)</t>
  </si>
  <si>
    <t>Gas(d)</t>
  </si>
  <si>
    <t>natural gasoline)(e)</t>
  </si>
  <si>
    <t>and Breeze</t>
  </si>
  <si>
    <t>Other(f)</t>
  </si>
  <si>
    <t>Food</t>
  </si>
  <si>
    <t xml:space="preserve"> 3112</t>
  </si>
  <si>
    <t>Grain and Oilseed Milling</t>
  </si>
  <si>
    <t>*</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</si>
  <si>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</si>
  <si>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</si>
  <si>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</si>
  <si>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</si>
  <si>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</si>
  <si>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</si>
  <si>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</si>
  <si>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</si>
  <si>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</si>
  <si>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</si>
  <si>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</si>
  <si>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</si>
  <si>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</si>
  <si>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</si>
  <si>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</si>
  <si>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</si>
  <si>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</si>
  <si>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</si>
  <si>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</si>
  <si>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</si>
  <si>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</si>
  <si>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</si>
  <si>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</si>
  <si>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</si>
  <si>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</si>
  <si>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</si>
  <si>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</si>
  <si>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</si>
  <si>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</si>
  <si>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</si>
  <si>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</si>
  <si>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</si>
  <si>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</si>
  <si>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</si>
  <si>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</si>
  <si>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</si>
  <si>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</si>
  <si>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</si>
  <si>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</si>
  <si>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</si>
  <si>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</si>
  <si>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</si>
  <si>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</si>
  <si>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</si>
  <si>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</si>
  <si>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</si>
  <si>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</si>
  <si>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</si>
  <si>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</si>
  <si>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</si>
  <si>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</si>
  <si>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</si>
  <si>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</si>
  <si>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</si>
  <si>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</si>
  <si>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</si>
  <si>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</si>
  <si>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W</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</si>
  <si>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</si>
  <si>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</si>
  <si>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</si>
  <si>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</si>
  <si>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</si>
  <si>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</si>
  <si>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</si>
  <si>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</si>
  <si>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</si>
  <si>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</si>
  <si>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</si>
  <si>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</si>
  <si>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</si>
  <si>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</si>
  <si>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</si>
  <si>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</si>
  <si>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</si>
  <si>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</si>
  <si>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</si>
  <si>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</si>
  <si>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</si>
  <si>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</si>
  <si>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</si>
  <si>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</si>
  <si>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</si>
  <si>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</si>
  <si>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</si>
  <si>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</si>
  <si>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</si>
  <si>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</si>
  <si>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</si>
  <si>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</si>
  <si>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</si>
  <si>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</si>
  <si>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</si>
  <si>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</si>
  <si>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</si>
  <si>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</si>
  <si>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</si>
  <si>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</si>
  <si>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</si>
  <si>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</si>
  <si>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</si>
  <si>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</si>
  <si>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</si>
  <si>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</si>
  <si>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</si>
  <si>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</si>
  <si>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</si>
  <si>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</si>
  <si>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</si>
  <si>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</si>
  <si>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</si>
  <si>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</si>
  <si>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</si>
  <si>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</si>
  <si>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</si>
  <si>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</si>
  <si>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</si>
  <si>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</si>
  <si>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</si>
  <si>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</si>
  <si>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</si>
  <si>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</si>
  <si>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</si>
  <si>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</si>
  <si>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</si>
  <si>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</si>
  <si>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</si>
  <si>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</si>
  <si>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</si>
  <si>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</si>
  <si>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</si>
  <si>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</si>
  <si>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</si>
  <si>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</si>
  <si>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</si>
  <si>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</si>
  <si>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</si>
  <si>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</si>
  <si>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</si>
  <si>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</si>
  <si>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</si>
  <si>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</si>
  <si>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</si>
  <si>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</si>
  <si>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</si>
  <si>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</si>
  <si>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</si>
  <si>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</si>
  <si>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</si>
  <si>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</si>
  <si>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</si>
  <si>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</si>
  <si>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</si>
  <si>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</si>
  <si>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</si>
  <si>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</si>
  <si>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</si>
  <si>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</si>
  <si>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311</t>
  </si>
  <si>
    <t>312</t>
  </si>
  <si>
    <t>Table CT6. Industrial Sector Energy Consumption Estimates, 1960-2017, Texas</t>
  </si>
  <si>
    <t>https://www.eia.gov/state/seds/data.php?incfile=/state/seds/sep_use/ind/use_ind_TX.html&amp;sid=TX</t>
  </si>
  <si>
    <t>Hydroelectric</t>
  </si>
  <si>
    <t>Geothermal</t>
  </si>
  <si>
    <t>Solar</t>
  </si>
  <si>
    <t>Electricity Retail Sales</t>
  </si>
  <si>
    <t>Net Energy</t>
  </si>
  <si>
    <t>Electrical System Energy Losses (k)</t>
  </si>
  <si>
    <t>Distillate Fuel Oil</t>
  </si>
  <si>
    <t>HGL</t>
  </si>
  <si>
    <t>Motor Gasoline</t>
  </si>
  <si>
    <t>Residual Fuel Oil</t>
  </si>
  <si>
    <t>Other</t>
  </si>
  <si>
    <t>Thousand short tons</t>
  </si>
  <si>
    <t>billion cubic ft</t>
  </si>
  <si>
    <t>Thousand Barrels</t>
  </si>
  <si>
    <t>Million kWh</t>
  </si>
  <si>
    <t>wood and waste</t>
  </si>
  <si>
    <t>losses and co-products</t>
  </si>
  <si>
    <t>– –</t>
  </si>
  <si>
    <t>NA</t>
  </si>
  <si>
    <t>(s)</t>
  </si>
  <si>
    <t>Trillion BTU</t>
  </si>
  <si>
    <t>year</t>
  </si>
  <si>
    <t>coal</t>
  </si>
  <si>
    <t>nat gas</t>
  </si>
  <si>
    <t>distillate fuel oil</t>
  </si>
  <si>
    <t>Residual fuel oil</t>
  </si>
  <si>
    <t>other</t>
  </si>
  <si>
    <t>total petrol</t>
  </si>
  <si>
    <t>hydro</t>
  </si>
  <si>
    <t>wood and waste (biom)</t>
  </si>
  <si>
    <t>losses and co-products (biom)</t>
  </si>
  <si>
    <t>geothermal</t>
  </si>
  <si>
    <t>solar</t>
  </si>
  <si>
    <t>electricity retail sales</t>
  </si>
  <si>
    <t>electrical system energy losses (k)</t>
  </si>
  <si>
    <t>**Italicized means marked [R] in original</t>
  </si>
  <si>
    <t>Where shown, R = Revised data and (s) = Physical unit value less than 0.5 or Btu value less than 0.05.</t>
  </si>
  <si>
    <t>(k) = Incurred in the generation, transmission, and distribution of electricity plus plant use and unaccounted for electrical system energy losses. Pre-1990 estimates are not comparable to those for later years. See Section 6 of Technical Notes for an explanation of changes in methodology.</t>
  </si>
  <si>
    <t>Notes: Totals may not equal sum of components due to independent rounding. · The industrial sector includes industrial combined-heat-and-power (CHP) and industrial electricity-only plants. · The continuity of these data series estimates may be affected by the changing data sources and estimation methodologies. See the Technical Notes for each type of energy.</t>
  </si>
  <si>
    <t>electricity</t>
  </si>
  <si>
    <t>petrol/diesel</t>
  </si>
  <si>
    <t>heat</t>
  </si>
  <si>
    <t>crude oil</t>
  </si>
  <si>
    <t>hydrogen</t>
  </si>
  <si>
    <t>MMBTU_TOTAL</t>
  </si>
  <si>
    <t>Net_electricity</t>
  </si>
  <si>
    <t>LPG_NGL</t>
  </si>
  <si>
    <t>Natural_gas</t>
  </si>
  <si>
    <t>Residual_fuel_oil</t>
  </si>
  <si>
    <t>Coke_and_breeze</t>
  </si>
  <si>
    <t>Industry</t>
  </si>
  <si>
    <t>NAICS Codes</t>
  </si>
  <si>
    <t>NAICS industry</t>
  </si>
  <si>
    <t>agriculture, forestry, fishing, and hunting</t>
  </si>
  <si>
    <t>chemicals manufacturing</t>
  </si>
  <si>
    <t>plastics and rubber products manufacturing</t>
  </si>
  <si>
    <t>Cement and other Carbonate use</t>
  </si>
  <si>
    <t>cements</t>
  </si>
  <si>
    <t>lime</t>
  </si>
  <si>
    <t>Iron and Steel</t>
  </si>
  <si>
    <t>iron and steel mills and ferroalloys</t>
  </si>
  <si>
    <t>steel products from purchased steel</t>
  </si>
  <si>
    <t>https://www.eia.gov/outlooks/aeo/assumptions/pdf/industrial.pdf</t>
  </si>
  <si>
    <t>FUEL</t>
  </si>
  <si>
    <t>325 - CHEMICALS MANUFACTURING</t>
  </si>
  <si>
    <t>326 - PLASTICS AND RUBBER</t>
  </si>
  <si>
    <t>11 - Agriculture/forestry/fishing/hunting</t>
  </si>
  <si>
    <t>327310 - cements</t>
  </si>
  <si>
    <t>327410 - lime</t>
  </si>
  <si>
    <t>3312 - steel prods from purchased steel</t>
  </si>
  <si>
    <t>331110 - iron and steel mills and ferroalloys</t>
  </si>
  <si>
    <t>Coal Mining Scaling from 2007 to 2018 - TEXAS</t>
  </si>
  <si>
    <t>accessed 2020/05/05</t>
  </si>
  <si>
    <t>TX Short Tons</t>
  </si>
  <si>
    <t>% of US total</t>
  </si>
  <si>
    <t>average</t>
  </si>
  <si>
    <t>Assuming constant efficiency, estimated TX coal mining energy use in 2017 is:</t>
  </si>
  <si>
    <t>coal mining energy use in 2018</t>
  </si>
  <si>
    <t>https://data.nrel.gov/submissions/122</t>
  </si>
  <si>
    <t xml:space="preserve">National Renewable Energy Laboratory </t>
  </si>
  <si>
    <t>2018 (data for 2016)</t>
  </si>
  <si>
    <t>county energy estimate zip files</t>
  </si>
  <si>
    <t>Texas Industry Energy Use (NREL_Data)</t>
  </si>
  <si>
    <t>*downloaded into R, cleaned, aggregated by NAICS code over counties</t>
  </si>
  <si>
    <t>NREL fuel categories</t>
  </si>
  <si>
    <t>EPS fuel categories</t>
  </si>
  <si>
    <t>petrol-diesel</t>
  </si>
  <si>
    <t>heavy or residual fuel oil</t>
  </si>
  <si>
    <t>Cements/Carbonates</t>
  </si>
  <si>
    <t>MMBTU in 2016</t>
  </si>
  <si>
    <t>Sector</t>
  </si>
  <si>
    <t>212111 &amp; 212112 - Coal Mining</t>
  </si>
  <si>
    <t>https://www.census.gov/cgi-bin/sssd/naics/naicsrch?input=mining&amp;search=2017+NAICS+Search&amp;search=2017</t>
  </si>
  <si>
    <t>Scaled to 2017</t>
  </si>
  <si>
    <t>based on NAICS definitions, where 212113 includes PA coal and is not present in TX data</t>
  </si>
  <si>
    <t>211111 &amp; 211112 - Oil and Gas Extraction</t>
  </si>
  <si>
    <t>324 - petroleum and coal products manufacturing</t>
  </si>
  <si>
    <t>Natural Gas &amp; Petrol Systems</t>
  </si>
  <si>
    <t>Because these data are 2016 the 2012 NAICS system is used</t>
  </si>
  <si>
    <t>crude petroleum and natural gas extraction</t>
  </si>
  <si>
    <t>natural gas liquid extraction</t>
  </si>
  <si>
    <t>petroleum refinieries</t>
  </si>
  <si>
    <t>asphalt paving mixture and block manufacturing</t>
  </si>
  <si>
    <t>asphalt shingle and coating materials manufacturing</t>
  </si>
  <si>
    <t>NREL has data for 2016 Texas industry energy use by NAICS code and fuel type - try to match NAICS code industries to AEO industries</t>
  </si>
  <si>
    <t>334413 - semiconductor and related device manufacturing</t>
  </si>
  <si>
    <t>TEXAS SPECIFIC LARGE INDUSTRIES</t>
  </si>
  <si>
    <t>semiconductor and related device manufacturing</t>
  </si>
  <si>
    <t>semiconductors</t>
  </si>
  <si>
    <t>*Net_electricity includes renewable on-site generation, as per MECS definition</t>
  </si>
  <si>
    <t>NAICS 324199 contains merchant coke ovens, which are considered part of the iron and steel industry in the Annual Energy Outlook.</t>
  </si>
  <si>
    <t>(Liquified Petrol Gases and Natural Gas Liquids)</t>
  </si>
  <si>
    <t xml:space="preserve">Texas Industrial Sector Energy Consumption </t>
  </si>
  <si>
    <t>historic up to 2018</t>
  </si>
  <si>
    <t>historic up to 2017</t>
  </si>
  <si>
    <t>State Energy Data System (SEDS)</t>
  </si>
  <si>
    <t>NOTES FOR TEXAS UPDATE</t>
  </si>
  <si>
    <t xml:space="preserve">Aggregate TX industrial energy use by source, taken from EIA SEDS, indicates that an insignificant amount or 0 energy for industry comes </t>
  </si>
  <si>
    <t>These estimates include use of energy as feedstock</t>
  </si>
  <si>
    <t>net energy (j)</t>
  </si>
  <si>
    <t xml:space="preserve">NREL uses EIA definition 'net electricity' for electricity consumption, which excludes all NON RENEWABLE onsite generation. </t>
  </si>
  <si>
    <t>Table 11.3  Electricity: Components of Onsite Generation, 2014;</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</si>
  <si>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</si>
  <si>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</si>
  <si>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</si>
  <si>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</si>
  <si>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</si>
  <si>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</si>
  <si>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</si>
  <si>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</si>
  <si>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</si>
  <si>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</si>
  <si>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 xml:space="preserve">   (a) The Bureau of the Census classifies establishments using the 2012 North American Industry Classification System (NAICS). </t>
  </si>
  <si>
    <t xml:space="preserve">   (b) 'Cogeneration' is the production of electrical energy and another form of useful energy, such as heat or steam, through the sequential use of energy.  Cogeneration includes electricity generated from fossil fuels, such as natural gas, fuel oils, and coal; wood; and other biomass.</t>
  </si>
  <si>
    <t xml:space="preserve">   (c) 'Renewable Energy' is energy obtained from essentially inexhaustible sources. Noncombustible sources include solar power, wind power, hydropower, and geothermal power.</t>
  </si>
  <si>
    <t xml:space="preserve">    (d) 'Other' is that electricity obtained from a generator fueled by combustible energy sources, such as diesel fuels and other fuel oils.</t>
  </si>
  <si>
    <t xml:space="preserve">    NF=No applicable RSE row/column factor.</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</si>
  <si>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</si>
  <si>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</si>
  <si>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</si>
  <si>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</si>
  <si>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t>
  </si>
  <si>
    <t xml:space="preserve">    Source: U.S. Energy Information Administration, Office of Energy Consumption and Efficiency Statistics, Form EIA-846, '2014 Manufacturing Energy Consumption Survey.'</t>
  </si>
  <si>
    <t>Series Link</t>
  </si>
  <si>
    <t>Series Key</t>
  </si>
  <si>
    <t>https://www.eia.gov/dnav/pet/pet_pnp_inpt2_dc_r3a_mbbl_a.htm</t>
  </si>
  <si>
    <t>Texas Refinery Inputs</t>
  </si>
  <si>
    <t>historic up to 2019</t>
  </si>
  <si>
    <t>Petroleum &amp; Other Liquids data browser</t>
  </si>
  <si>
    <t>Data from both Texas Inland and Texas Gulf Coast regions</t>
  </si>
  <si>
    <t>Sourcekey</t>
  </si>
  <si>
    <t>MCRRO_R3A_1</t>
  </si>
  <si>
    <t>Date</t>
  </si>
  <si>
    <t>Refining District Texas Inland Refinery Net Input of Crude Oil (Thousand Barrels)</t>
  </si>
  <si>
    <t>Worksheet Name</t>
  </si>
  <si>
    <t>Description</t>
  </si>
  <si>
    <t># Of Series</t>
  </si>
  <si>
    <t>Frequency</t>
  </si>
  <si>
    <t>Latest Data for</t>
  </si>
  <si>
    <t>Data 1</t>
  </si>
  <si>
    <t>Annual</t>
  </si>
  <si>
    <t>Release Date:</t>
  </si>
  <si>
    <t>4/30/2020</t>
  </si>
  <si>
    <t>Next Release Date:</t>
  </si>
  <si>
    <t>8/31/2020</t>
  </si>
  <si>
    <t>Excel File Name:</t>
  </si>
  <si>
    <t>mcrro_r3a_1a.xls</t>
  </si>
  <si>
    <t>Available from Web Page:</t>
  </si>
  <si>
    <t>http://tonto.eia.gov/dnav/pet/hist/LeafHandler.ashx?n=PET&amp;s=MCRRO_R3A_1&amp;f=A</t>
  </si>
  <si>
    <t>Source:</t>
  </si>
  <si>
    <t>For Help, Contact:</t>
  </si>
  <si>
    <t>infoctr@eia.doe.gov</t>
  </si>
  <si>
    <t>(202) 586-8800</t>
  </si>
  <si>
    <t>4/27/2020 6:34:06 PM</t>
  </si>
  <si>
    <t>Refining District Texas Gulf Coast Refinery Net Input of Crude Oil (Thousand Barrels)</t>
  </si>
  <si>
    <t>mcrro_r3b_1a.xls</t>
  </si>
  <si>
    <t>http://tonto.eia.gov/dnav/pet/hist/LeafHandler.ashx?n=PET&amp;s=MCRRO_R3B_1&amp;f=A</t>
  </si>
  <si>
    <t>MCRRO_R3B_1</t>
  </si>
  <si>
    <t>Total Net Input of Crude Oil (Thousand Barrels)</t>
  </si>
  <si>
    <t>INLAND</t>
  </si>
  <si>
    <t>GULF COAST</t>
  </si>
  <si>
    <t>^MMBTU per bbl</t>
  </si>
  <si>
    <t>(MMBTU/bbl * MMbbl/day)/(MMbl/day) = MMBTU/bbl</t>
  </si>
  <si>
    <t>weighted average energy content of a bbl of crude oil</t>
  </si>
  <si>
    <t xml:space="preserve">BTU </t>
  </si>
  <si>
    <t>Texas Pipeline Natural Gas Use</t>
  </si>
  <si>
    <t>https://www.eia.gov/dnav/ng/ng_cons_sum_dcu_STX_a.htm</t>
  </si>
  <si>
    <t>NATURAL GAS AND PETROLEUM SYSTEMS</t>
  </si>
  <si>
    <t>CRUDE OIL</t>
  </si>
  <si>
    <t>PIPELINE NATURAL GAS</t>
  </si>
  <si>
    <t>Natural Gas Consumption by End Use</t>
  </si>
  <si>
    <t>14:15:48 GMT-0500 (Central Daylight Time)</t>
  </si>
  <si>
    <t>https://www.eia.gov/dnav/ng/hist/na1480_stx_2a.htm</t>
  </si>
  <si>
    <t>NA1480_STX_2.A</t>
  </si>
  <si>
    <t>Texas Natural Gas Pipeline and Distribution Use MMcf</t>
  </si>
  <si>
    <t>BTU</t>
  </si>
  <si>
    <t>**1.039 kBTU/cf from EIA AEO Table 73</t>
  </si>
  <si>
    <t>PYCO Data</t>
  </si>
  <si>
    <t>Net generation</t>
  </si>
  <si>
    <t>PYCO cottonseed product plant Wind Farm</t>
  </si>
  <si>
    <t>*to be assigned to crude oil tab, all in nat gas/petrol systems industry</t>
  </si>
  <si>
    <t>*to be assigned to natural gas tab, all in nat gas/petrol systems industry</t>
  </si>
  <si>
    <t xml:space="preserve">Data 1: Refining District Texas Inland Refinery Net Input of Crude Oil </t>
  </si>
  <si>
    <t>Data 1: Refining District Texas Gulf Coast Refinery Net Input of Crude Oil</t>
  </si>
  <si>
    <t>NREL has data for 2016 Texas industry energy use by NAICS code and fuel type - try to match NAICS code industries by EIA definitions because EPS originally used EIA AEO Industries</t>
  </si>
  <si>
    <t>- this is only manufacturing, so onsite renewable generation for agriculture production might not be captured</t>
  </si>
  <si>
    <t>*might be metallurgical coal</t>
  </si>
  <si>
    <t>which is incl in coal subtotal</t>
  </si>
  <si>
    <t>*does TX import crude? Will it ever?</t>
  </si>
  <si>
    <t>**check about pipeline compressors</t>
  </si>
  <si>
    <t xml:space="preserve">other petroleum and coal products </t>
  </si>
  <si>
    <t>all other petroleum and coal products manufacturing (NOT USED HERE)</t>
  </si>
  <si>
    <t>^ based on AEO assumptions</t>
  </si>
  <si>
    <t>*break out prop by MECS 3.5 and assign ad hoc</t>
  </si>
  <si>
    <t xml:space="preserve">TX SEDS indicates that, other than some biomass, no renewables are used in TX industry, so the renewables in MECS can be attributed to other states. </t>
  </si>
  <si>
    <t>Waste</t>
  </si>
  <si>
    <t>Blast</t>
  </si>
  <si>
    <t>Pulping Liquor</t>
  </si>
  <si>
    <t>Oils/Tars</t>
  </si>
  <si>
    <t>Furnace/Coke</t>
  </si>
  <si>
    <t>or</t>
  </si>
  <si>
    <t>Wood Chips,</t>
  </si>
  <si>
    <t>and Waste</t>
  </si>
  <si>
    <t>Oven Gases</t>
  </si>
  <si>
    <t>Gas</t>
  </si>
  <si>
    <t>Black Liquor</t>
  </si>
  <si>
    <t>Bark</t>
  </si>
  <si>
    <t>Materials</t>
  </si>
  <si>
    <t>ELECTRICITY</t>
  </si>
  <si>
    <t>COAL</t>
  </si>
  <si>
    <t>NAT GAS</t>
  </si>
  <si>
    <t>BIOMASS</t>
  </si>
  <si>
    <t>PETROLEUM DIESEL</t>
  </si>
  <si>
    <t>HEAVY OR RESIDUAL OIL</t>
  </si>
  <si>
    <t>LPG/PROPANE/BUTANE</t>
  </si>
  <si>
    <t>Using previously determined EPS national trends to project out for TX (note: Heat and Hydrogen not here because start in BAU as 0)</t>
  </si>
  <si>
    <t>natural gas</t>
  </si>
  <si>
    <t>Petroleum/Diesel</t>
  </si>
  <si>
    <t>Heat</t>
  </si>
  <si>
    <t>LPG/Propane/Butane</t>
  </si>
  <si>
    <t>Hydrogen</t>
  </si>
  <si>
    <t>TOTAL</t>
  </si>
  <si>
    <t xml:space="preserve">*per NAICS website, these are all 4 codes </t>
  </si>
  <si>
    <t>under 324</t>
  </si>
  <si>
    <t>NOT IN MECS, ASSUME OTHER IS WHAT FUEL??</t>
  </si>
  <si>
    <t xml:space="preserve">*note: blank rows used to have 324199, but removed because they </t>
  </si>
  <si>
    <t>are part of Iron and Steel</t>
  </si>
  <si>
    <t>FOR CHEMICALS OTHER FUEL SPLIT</t>
  </si>
  <si>
    <t>*Assume all 325 follow general 325 MECS T3.5 split</t>
  </si>
  <si>
    <t>MMBTU</t>
  </si>
  <si>
    <t>*don't include unless manufacturing is</t>
  </si>
  <si>
    <t>a part of agriculture</t>
  </si>
  <si>
    <t>Other Industries</t>
  </si>
  <si>
    <t>petroleum diesel</t>
  </si>
  <si>
    <t xml:space="preserve">all other petroleum and coal products manufacturing </t>
  </si>
  <si>
    <t>- onsite generation from non-biomass renewables in south census region for manufacturing is almost 0 so assume 0 for TX</t>
  </si>
  <si>
    <t>Construction</t>
  </si>
  <si>
    <t>Manufacturing</t>
  </si>
  <si>
    <t>Mining</t>
  </si>
  <si>
    <t>fuel</t>
  </si>
  <si>
    <t>sector</t>
  </si>
  <si>
    <t>residual fuel oil</t>
  </si>
  <si>
    <t>coke/breeze</t>
  </si>
  <si>
    <t>feedstock</t>
  </si>
  <si>
    <t>total (MMBTU)</t>
  </si>
  <si>
    <t>% of fuel going into this sector</t>
  </si>
  <si>
    <t>*Assume feedstock is only consumed in manufacturing</t>
  </si>
  <si>
    <t>*Assume ratio of feedstock to combustion is similar across south census region</t>
  </si>
  <si>
    <t>EPS Fuel</t>
  </si>
  <si>
    <t>elec</t>
  </si>
  <si>
    <t>heavy or residual</t>
  </si>
  <si>
    <t>Nat Gas</t>
  </si>
  <si>
    <t>Petrol/Diesel</t>
  </si>
  <si>
    <t>--</t>
  </si>
  <si>
    <t>Renewables</t>
  </si>
  <si>
    <t xml:space="preserve">Electricity </t>
  </si>
  <si>
    <t>SEDS TOTAL</t>
  </si>
  <si>
    <t>3.2 - fuel consumption</t>
  </si>
  <si>
    <t>ON-SITE GEN</t>
  </si>
  <si>
    <t>ON-SITE??</t>
  </si>
  <si>
    <t xml:space="preserve">Natural </t>
  </si>
  <si>
    <t>Coke and</t>
  </si>
  <si>
    <t>Total(b)</t>
  </si>
  <si>
    <t>Electricity(c)</t>
  </si>
  <si>
    <t>Fuel Oil(d)</t>
  </si>
  <si>
    <t>Gas(e)</t>
  </si>
  <si>
    <t>natural gasoline)(f)</t>
  </si>
  <si>
    <t>Breeze</t>
  </si>
  <si>
    <t>Other(g)</t>
  </si>
  <si>
    <t xml:space="preserve">2.2 - Nonfuel (feedstock) consumption </t>
  </si>
  <si>
    <t xml:space="preserve">1.2 - first use of energy for all purposes (fuel and nonfuel) consumption </t>
  </si>
  <si>
    <t>energy produced offsite and consumed as fuel</t>
  </si>
  <si>
    <t>energy produced offsite and consumed for nonfuel purposes</t>
  </si>
  <si>
    <t>energy produced onsite from nonenergy inputs and consumed for nonfuel purposes</t>
  </si>
  <si>
    <t>energy produced onsite from nonenergy inputs and consumed onsite as fuel</t>
  </si>
  <si>
    <t>1.2 includes:</t>
  </si>
  <si>
    <t>2.2 includes:</t>
  </si>
  <si>
    <t>3.2 includes:</t>
  </si>
  <si>
    <t>energy produced onsite from energy inputs and consumed as fuel</t>
  </si>
  <si>
    <t>4.2 includes:</t>
  </si>
  <si>
    <t xml:space="preserve">4.2 - offsite produced fuel consumption </t>
  </si>
  <si>
    <t>MECS ASSUMPTIONS</t>
  </si>
  <si>
    <t>To ensure the correct MECS tables are used, table descriptions were taken</t>
  </si>
  <si>
    <t>from the MECS methodology and are repeated below</t>
  </si>
  <si>
    <t>https://www.eia.gov/consumption/manufacturing/data/2014/index.php?view=methodology_2014#assumptions</t>
  </si>
  <si>
    <t>(scroll to 'Tabular Estimates' and refer to derived values presented in the previous section 'Development of the Data File'</t>
  </si>
  <si>
    <t>energy produced offsite and consumed as fuel (aka consumption of purchased fuels)</t>
  </si>
  <si>
    <t>&gt;&gt;&gt;&gt;&gt;&gt;&gt;&gt;&gt;&gt;&gt;&gt;&gt;&gt;</t>
  </si>
  <si>
    <r>
      <t xml:space="preserve">*This derived value covers materials such as wood chips, bark, and wood waste and pulping liquor.This derived value also covers waste materials, biomass, and </t>
    </r>
    <r>
      <rPr>
        <b/>
        <sz val="11"/>
        <color theme="1"/>
        <rFont val="Calibri"/>
        <family val="2"/>
        <scheme val="minor"/>
      </rPr>
      <t>hydrogen</t>
    </r>
    <r>
      <rPr>
        <sz val="11"/>
        <color theme="1"/>
        <rFont val="Calibri"/>
        <family val="2"/>
        <scheme val="minor"/>
      </rPr>
      <t xml:space="preserve"> that are produced from the electrolysis of brine. Energy sources such as petroleum and coal that are consumed as fuel and originate onsite from captive mines or wells (an unusual occurrence) are also included here</t>
    </r>
  </si>
  <si>
    <t>The electricity column in 4.2 is slightly greater than that in 3.2. This is because table 4.2 reports total electricity consumption from purchases</t>
  </si>
  <si>
    <t xml:space="preserve">or transfers in while 3.2 reports Net Electricity. Net Electricity is the sum of purchases, transfers in, and generation from non-combustible </t>
  </si>
  <si>
    <t>resources minus quantities sold and transferred out.  Net electricity does not include onsite cogeneration or onsite generation from</t>
  </si>
  <si>
    <t>combustible fuels, because onsite combustible fuels are already counted in other fuels (e.g. coal)</t>
  </si>
  <si>
    <t>Split SEDS based on TOTAL consumption, including onsite (because that is included in SEDS data)</t>
  </si>
  <si>
    <t xml:space="preserve">Tables 2.2 and 3.2 are used to scale NREL consumption estimates up to account for feedstock energy use. Then the scaled NREL estimates </t>
  </si>
  <si>
    <t xml:space="preserve">are used to determine the split of total industrial energy consumption as reported by SEDS. Then MECS tables 4.2, 2.2, and 1.2 are used </t>
  </si>
  <si>
    <t xml:space="preserve">to scale down the split estimates to remove onsite fuel consumption. </t>
  </si>
  <si>
    <t>*showed 0.6%, assume 0</t>
  </si>
  <si>
    <t>*showed 3.5%, assume 0</t>
  </si>
  <si>
    <t>3.5 - Select byproducts in fuel consumption ('Other' column)</t>
  </si>
  <si>
    <t>T1.2</t>
  </si>
  <si>
    <t>T2.2</t>
  </si>
  <si>
    <t>T3.2</t>
  </si>
  <si>
    <t>T4.2</t>
  </si>
  <si>
    <t>T3.6</t>
  </si>
  <si>
    <t>Other distribution:</t>
  </si>
  <si>
    <t>oven/waste gasses</t>
  </si>
  <si>
    <t>on-site biomass (pulping liquor)</t>
  </si>
  <si>
    <t>biomass (wood chips)</t>
  </si>
  <si>
    <t>oven/waste gases</t>
  </si>
  <si>
    <t>percent of total 'other' attributable to each category</t>
  </si>
  <si>
    <t>Portion of 'other' fuel use attributable to each category</t>
  </si>
  <si>
    <t xml:space="preserve">Portion of 'other' feedstock </t>
  </si>
  <si>
    <t>1</t>
  </si>
  <si>
    <t>biomass (wood)</t>
  </si>
  <si>
    <t>biomass (other)</t>
  </si>
  <si>
    <t>biomass (pulp)</t>
  </si>
  <si>
    <t>Other Fuel (BTU)</t>
  </si>
  <si>
    <t>&gt;</t>
  </si>
  <si>
    <t>Heat Gases</t>
  </si>
  <si>
    <t>Total Fuel and Feedstock energy use by Source and Sector (Trillion BTU)</t>
  </si>
  <si>
    <t xml:space="preserve">OTHER PETROL includes asphalt and road oil, kerosene, lubricants, petcoke, and the 'other petroleum products' category. See technical notes section 4 for more information. </t>
  </si>
  <si>
    <t>^assign to category LPG based on technical notes</t>
  </si>
  <si>
    <t>https://www.eia.gov/state/seds/sep_use/notes/use_petrol.pdf</t>
  </si>
  <si>
    <t>Electric losses</t>
  </si>
  <si>
    <t>Other Feedstock (BTU) &gt;</t>
  </si>
  <si>
    <t>TOTALS TAKEN FROM SEDS (Trillion BTU)</t>
  </si>
  <si>
    <t>waste gases</t>
  </si>
  <si>
    <t>*ratio of waste gasses to manufacturing coal/coke/breeze</t>
  </si>
  <si>
    <t>Fuel Consumption</t>
  </si>
  <si>
    <t>Electricity Sales</t>
  </si>
  <si>
    <t>*Assume net electricity is equivalent to purchases (as it essentially is in MECS)</t>
  </si>
  <si>
    <t>Adjusted for feedstock</t>
  </si>
  <si>
    <t xml:space="preserve">Adjusted </t>
  </si>
  <si>
    <t>Wood</t>
  </si>
  <si>
    <t>Other Biomass</t>
  </si>
  <si>
    <t>*Assume all pulping liquor from 'other' category is losses/coproducts in seds and goes to manufacturing</t>
  </si>
  <si>
    <t>*The other losses/coproducts biomass is assumed to be on-site, as are waste gasses. They are included here for consistency but will not be counted in final values</t>
  </si>
  <si>
    <t>*Assume wood/wood pellets are offsite because there are only 2 wood pellet plants in TX (according to EIA)</t>
  </si>
  <si>
    <t>% of energy going into this sector</t>
  </si>
  <si>
    <t>All values here are for 'South Census Region' and in trillion BTU</t>
  </si>
  <si>
    <t>Split up the total Texas Industrial Energy Use from EIA SEDS based on NREL industry splits</t>
  </si>
  <si>
    <t>Calculate the waste/oven gas energy used for Texas</t>
  </si>
  <si>
    <t>Use MECS Data to Distribute EIA SEDS Texas Industrial Energy use between Industry Sectors and Fuel Type</t>
  </si>
  <si>
    <t>*Must include total (on and offsite) fuel use as well as feedstock because that is included in SEDS. To do this, use MECS data to scale up NREL values to include feedstock</t>
  </si>
  <si>
    <t xml:space="preserve">Split up the Manufacturing Sector's Energy Use by Sub-Industry </t>
  </si>
  <si>
    <t>*Use the ratio of MECS Tabels (2.2 + 4.2)/1.2 for this, with the 'other' column properly distributed (i.e., look at 3.5 and see if it's mostly biomass or another and distirbute before calculating the ratio)</t>
  </si>
  <si>
    <t>Values with *,W, and Q prevented summing, so deleted for calculation purposes (these cells will be blank)</t>
  </si>
  <si>
    <t>Where necessary, estimates of energy consumption that were 'W' are marked by shading to help account for the discrepancies in totals</t>
  </si>
  <si>
    <t>National-level EPS only considered crude oil for use in the natural gas and petroleum system using the shipments into distillation units. A similar method was</t>
  </si>
  <si>
    <t xml:space="preserve">used for Texas, where net input into both TX PADDS was taken from EIA data and converted into BTU. </t>
  </si>
  <si>
    <t>waste oils</t>
  </si>
  <si>
    <t>Other-feedstock-petcoke</t>
  </si>
  <si>
    <t>petrol-diesel (incl petcoke)</t>
  </si>
  <si>
    <t>TOTAL coal</t>
  </si>
  <si>
    <t>*Assume the remaining 'other' offsite energy use is either petcoke or wood and distirbute accordingly to petrol/diesel category</t>
  </si>
  <si>
    <t>*Don't use electric losses in subindustries because tihis variable is about purchased electricity, and SEDS specifies retail sales</t>
  </si>
  <si>
    <t xml:space="preserve">Split up Mining Category </t>
  </si>
  <si>
    <t>From NREL:</t>
  </si>
  <si>
    <t>Oil &amp;Gas Extraction:</t>
  </si>
  <si>
    <t>Metals and Minerals</t>
  </si>
  <si>
    <t>Total Mining from SEDS</t>
  </si>
  <si>
    <t>O&amp;G</t>
  </si>
  <si>
    <t>M&amp;M</t>
  </si>
  <si>
    <t>percent of total mining energy for:</t>
  </si>
  <si>
    <t>*values taken from above calculations, all in trillion BTU</t>
  </si>
  <si>
    <t>trillion btu coal mining in 2016 (for TX)</t>
  </si>
  <si>
    <t>ratio to total energy</t>
  </si>
  <si>
    <t>Total Manufacturing:</t>
  </si>
  <si>
    <t>RATIO OF FEEDSTOCK TO TOTAL FUEL ENERGY USE BY SOURCE</t>
  </si>
  <si>
    <t>*'Other' feedstock is assumed to all fall into LPG category, so is distirbuted accordingly in table 2.2</t>
  </si>
  <si>
    <t>*Assume feedstock scales with total energy use</t>
  </si>
  <si>
    <t>*Assume all 'other petrol' from SEDS is LPG category because SEDS technical notes has it containing multiple feedstocks</t>
  </si>
  <si>
    <t>Split SEDS based on TOTAL consumption, including onsite (because that is included in SEDS data) (all in MMBTU)</t>
  </si>
  <si>
    <t>blast furnace/oven coke</t>
  </si>
  <si>
    <t>waste gas</t>
  </si>
  <si>
    <t>pulping liquor</t>
  </si>
  <si>
    <t>wood Chips,</t>
  </si>
  <si>
    <t>*Ratio of feedstock to total non-feedstock energy can multiply by NREL data totals</t>
  </si>
  <si>
    <t>Assumptions:</t>
  </si>
  <si>
    <t>NREL</t>
  </si>
  <si>
    <t xml:space="preserve">Total </t>
  </si>
  <si>
    <t>% of total</t>
  </si>
  <si>
    <t>*No way to know the distribution between the other sources, just split 'other' proportionally throughout other sources?</t>
  </si>
  <si>
    <t>crude</t>
  </si>
  <si>
    <t>heavy/residual</t>
  </si>
  <si>
    <t>lpg</t>
  </si>
  <si>
    <t>Agriculture Energy Split</t>
  </si>
  <si>
    <t>% of total ag energy</t>
  </si>
  <si>
    <t>Coal Mining Split</t>
  </si>
  <si>
    <t>Total Agriculture:</t>
  </si>
  <si>
    <t xml:space="preserve">% of total ag energy </t>
  </si>
  <si>
    <t>Other:</t>
  </si>
  <si>
    <t>C&amp;L LPG:</t>
  </si>
  <si>
    <t>*Do not scale down Electricity Sales because NREL data is for net electricity, which already excludes onsite cogeneration/generation from combustible fuels, and SEDS is retail sales already</t>
  </si>
  <si>
    <t>*Electricity here excludes onsite generation/cogeneration</t>
  </si>
  <si>
    <t>*Keep electric losses for consistency, but don't count in overall demand (because using net eletricity to split up retail sales, don't need to count losses)</t>
  </si>
  <si>
    <t>*Assume 'other' is mostly onsite waste gasses/waste heat and do not include here</t>
  </si>
  <si>
    <t>Accounting for M&amp;M 'other' mining energy use</t>
  </si>
  <si>
    <t>Pipeline natural gas use is obtained from EIA data. Our source for mining energy consumption does not break out</t>
  </si>
  <si>
    <t xml:space="preserve">lease and plant fuel, so we are unable to allocate that directly to the natural gas and petroleum system industry specifically. </t>
  </si>
  <si>
    <t xml:space="preserve">From 2014 MECS Table 11.3, manufacturing in the entire South census region uses 0 onsite non-combustible renewable energy (except a little for auto manufacturing). </t>
  </si>
  <si>
    <t xml:space="preserve">2017 USDA Census of Agriculture for Texas shows there are 8,808 farms with solar generation and 2,2027 with wind turbines, though 2,576 have wind rights leased to others. </t>
  </si>
  <si>
    <t xml:space="preserve">TX has </t>
  </si>
  <si>
    <t>farms with solar</t>
  </si>
  <si>
    <t>each system is</t>
  </si>
  <si>
    <t>kW or less</t>
  </si>
  <si>
    <t>CF for solar</t>
  </si>
  <si>
    <t>% or so for non-industrial scale</t>
  </si>
  <si>
    <t>possible production</t>
  </si>
  <si>
    <t>kWh in 2017</t>
  </si>
  <si>
    <t>if avg of 50kW system</t>
  </si>
  <si>
    <t>Waste Management Split</t>
  </si>
  <si>
    <t>US MSW generation 2017:</t>
  </si>
  <si>
    <t>million tons</t>
  </si>
  <si>
    <t>https://www.epa.gov/facts-and-figures-about-materials-waste-and-recycling/national-overview-facts-and-figures-materials#Generation</t>
  </si>
  <si>
    <t>tons</t>
  </si>
  <si>
    <t>https://www.tceq.texas.gov/assets/public/comm_exec/pubs/as/187-18.pdf</t>
  </si>
  <si>
    <t>^ p14</t>
  </si>
  <si>
    <t>TX %</t>
  </si>
  <si>
    <t>TX MSW generation 2017:</t>
  </si>
  <si>
    <t>US water consumption 2015:</t>
  </si>
  <si>
    <t>B gallons/day</t>
  </si>
  <si>
    <t>M gal/day</t>
  </si>
  <si>
    <t>3.2+2.2</t>
  </si>
  <si>
    <t>T3.2+T2.2</t>
  </si>
  <si>
    <t>Percent of Total Energy Use for Each Sub-Industry, by source (based on Table 4.2+2.2, with 'other' feedstock distributed)</t>
  </si>
  <si>
    <t xml:space="preserve">*Need to split 'other' up in here as much as possible to align with SEDS </t>
  </si>
  <si>
    <t xml:space="preserve"> + feedstock</t>
  </si>
  <si>
    <t xml:space="preserve">HGL </t>
  </si>
  <si>
    <t>Net Electricity(b)</t>
  </si>
  <si>
    <t>wood chips, bark from 3.5</t>
  </si>
  <si>
    <t>Offsite Petcoke as fuel (goes to petrol/diesel)</t>
  </si>
  <si>
    <t>wood chips/bark</t>
  </si>
  <si>
    <t>Total Fuel and Feedstock Manufacturing Energy Use, with 'Other' Category Distributed (EPS categories)</t>
  </si>
  <si>
    <t xml:space="preserve">*Trillion BTU of waste gases used in manufacturing </t>
  </si>
  <si>
    <t>This variable only omits onsite generated and consumed energy carriers; electricity, waste gases, hydrogen, produced and consumed petcoke, or anything</t>
  </si>
  <si>
    <t>that is completely generated and consumed onsite. Solid fuels that are used to produce these carriers are counted (i.e. coal used on-site for generation).</t>
  </si>
  <si>
    <t>MMBTU BTU</t>
  </si>
  <si>
    <t>Adjustments (other or renewable electricity gen)</t>
  </si>
  <si>
    <t>*this electric value accounts for onsite renewable generation estimated below</t>
  </si>
  <si>
    <t>*assume waste oil/wood</t>
  </si>
  <si>
    <t>According to USDA ag census, there are more farms leasing wind rights than those that have wind generation - assume wind generation is all leased to others?</t>
  </si>
  <si>
    <t xml:space="preserve">*Assume wood is offsite and 'other biomass' is onsite </t>
  </si>
  <si>
    <t>TX water consumption 2015:</t>
  </si>
  <si>
    <t>https://pubs.usgs.gov/circ/1441/circ1441.pdf</t>
  </si>
  <si>
    <t>*Waste management enegy use dominated by water, so EPS only considers energy use for wastewater management in this variable</t>
  </si>
  <si>
    <t>Agriculture (TX UPDATE)</t>
  </si>
  <si>
    <t>Cement and other carbonate use (TX UPDATE)</t>
  </si>
  <si>
    <t>Iron and steel (TX UPDATE)</t>
  </si>
  <si>
    <t>Chemicals (TX UPDATE)</t>
  </si>
  <si>
    <t xml:space="preserve">Coal Mining (TX UPDATE) </t>
  </si>
  <si>
    <t>Water + Waste (TX UPDATE)</t>
  </si>
  <si>
    <t>this 'other' now has waste heat and wood</t>
  </si>
  <si>
    <t>Heavy/ Residual Fuel Oil + waste oil</t>
  </si>
  <si>
    <t>Table 3.2 + 2.2 (fuel and feedstock, 'other' feedstock moved to HGL, offsite petcoke and all waste oil distributed)</t>
  </si>
  <si>
    <t>^some portion of this has to be weird diesel/petrol products</t>
  </si>
  <si>
    <t>Distributing 'other petroleum products' from SEDS</t>
  </si>
  <si>
    <t>Chemical energy use/petroleum product manufacturing energy use</t>
  </si>
  <si>
    <t>=</t>
  </si>
  <si>
    <t xml:space="preserve">LPG/PetrolDiesel </t>
  </si>
  <si>
    <t>fraction split for other petroleum products distribution</t>
  </si>
  <si>
    <t>*The EIA SEDS Other Petroleum Products category includes chemical feedstocks to be used in chemical industry</t>
  </si>
  <si>
    <t xml:space="preserve">and other petrol products to be used by refining industries that would fall under the petrol/diesel category. </t>
  </si>
  <si>
    <t>To distribute appropriately between the two, this value is split based on the proportion of total energy used for</t>
  </si>
  <si>
    <t xml:space="preserve">chemicals in TX to the total energy used for petroleum and coal products in TX. </t>
  </si>
  <si>
    <t>*Assume all waste oil is generated and consumed onsite, so heavy/residual oil must first include this to properly distribute SEDS total energy used, and then be scaled down to remove this before being distributed among industries</t>
  </si>
  <si>
    <t>TX INDUSTRIAL ENERGY CONSUMPTION PROJECTIONS</t>
  </si>
  <si>
    <t>National:</t>
  </si>
  <si>
    <t>*Trillion BTU</t>
  </si>
  <si>
    <t>Crude Oil from 'TX O&amp;G'</t>
  </si>
  <si>
    <t>PROJECTING OUT TOTAL TX INDUSTRIAL ENERGY USE</t>
  </si>
  <si>
    <t>*compare TX TREND projections to national level projections for error/gut check</t>
  </si>
  <si>
    <t>pipeline nat gas from 'TX O&amp;G'</t>
  </si>
  <si>
    <t>pipeline gas</t>
  </si>
  <si>
    <t>TOTAL TX Projections</t>
  </si>
  <si>
    <t xml:space="preserve">Table 3.2 adjusted </t>
  </si>
  <si>
    <t>Heavy/ Residual Fuel Oil (no waste oil)</t>
  </si>
  <si>
    <t xml:space="preserve">This table is to distirbute the offsite 'other' fuel and feedstock properly and provide accurate fuel totals based on EPS fuel classifications </t>
  </si>
  <si>
    <t>*THIS VERSION EXCLUDES FEEDSTOCK IN FINAL ESTIMATES</t>
  </si>
  <si>
    <t>*THIS VERSION EXCLUDES ON-SITE CARRIER GENERATION</t>
  </si>
  <si>
    <t>Energy consumption for each industry, excluding feedstock, was taken from the 2018 NREL Industrial Databook underlying data.</t>
  </si>
  <si>
    <t>from non-combustible renewable resources.</t>
  </si>
  <si>
    <t>Military energy use is not included here.</t>
  </si>
  <si>
    <t>The NREL data combined with MECS feedstock/fuel ratios were used to split SEDS energy data between Agriculture/Manufacturing/Mining/Construction.</t>
  </si>
  <si>
    <t>MECS data were further used to then determine fuel energy used by each manufacturing industry. NREL data were used again to portion energy use for</t>
  </si>
  <si>
    <t xml:space="preserve">agriculture and minign between fuel sources. </t>
  </si>
  <si>
    <t>Total Texas industrial energy use is scaled out to 2050 using the TREND function, starting with years after 2010 because EIA changed their calculation methods for some</t>
  </si>
  <si>
    <t xml:space="preserve">energy sources in 2010. Portions of fuel use attributable to each industry remain constant throughout the projections, which thus implicitly assume that </t>
  </si>
  <si>
    <t>each industry retains its 2017 share of the industry energy mix (i.e. one industry does not become more/less important relative to the others over time).</t>
  </si>
  <si>
    <t xml:space="preserve">As of now, biomass is excluded. Wood is a small portion of TX industrial energy use, and biofuel-specific data was not found. </t>
  </si>
  <si>
    <t xml:space="preserve">This tab describes the methodology for adapting the BIFUbC variable to Texas </t>
  </si>
  <si>
    <t>AEO ERCOT:</t>
  </si>
  <si>
    <t>National New:</t>
  </si>
  <si>
    <t>billion kWh</t>
  </si>
  <si>
    <t>National TREND</t>
  </si>
  <si>
    <t>This table is to get accurate fuel usage totals to scale against the table to the left and thus exclude carriers generated+consumed onsite from final distribution to individual industries</t>
  </si>
  <si>
    <t>INCLUDES FEEDSTOCK</t>
  </si>
  <si>
    <t>Percent of total Energy Consumption that is Feedstock</t>
  </si>
  <si>
    <t>*force all #DIV/0! To 0</t>
  </si>
  <si>
    <t xml:space="preserve">*these values are the percent of total energy use for that subindustry that is for fuel not feedstock </t>
  </si>
  <si>
    <t>i.e., 3.5% of residual fuel oil used for chemicals is for fuel, the rest feedstock</t>
  </si>
  <si>
    <t>(petcoke moved to petrol/diesel category)</t>
  </si>
  <si>
    <t xml:space="preserve">National Crude </t>
  </si>
  <si>
    <t>TX crude growth rate</t>
  </si>
  <si>
    <t>national crude growth rate</t>
  </si>
  <si>
    <t>national lease and plant fuel</t>
  </si>
  <si>
    <t>national growth</t>
  </si>
  <si>
    <t>FEEDSTOCK CALCULATIONS</t>
  </si>
  <si>
    <t xml:space="preserve">heavy/residual </t>
  </si>
  <si>
    <t>LPG/prop</t>
  </si>
  <si>
    <t>wood</t>
  </si>
  <si>
    <t>nat gas sys</t>
  </si>
  <si>
    <t>ENERGY THAT IS USED AS FEEDSTOCK, TRILLION BTU for 2017</t>
  </si>
  <si>
    <t>PERCENT OF ENERGY THAT IS FEEDSTOCK</t>
  </si>
  <si>
    <t>PERCENT THAT IS FUEL AND NOT FEEDSTOCK</t>
  </si>
  <si>
    <t>cement/lime</t>
  </si>
  <si>
    <t>iron/steel</t>
  </si>
  <si>
    <t xml:space="preserve">This spreadsheet makes use of three data sources: </t>
  </si>
  <si>
    <t>NREL Industrial Energy Databook source data (TX-specific)</t>
  </si>
  <si>
    <t>EIA SEDS Texas Industrial Consumption</t>
  </si>
  <si>
    <t>EIA MECS Tables,  South Census Region</t>
  </si>
  <si>
    <t>of Industrial energy between manufacturing/agriculture/mining/construction makes sense and can be used to downscale total consumption to manufacturing.</t>
  </si>
  <si>
    <t xml:space="preserve">subindustry. Can use this as benchmark for total consumption. </t>
  </si>
  <si>
    <t>Overall, EIA SEDS data are taken to be total Industrial energy consumption. NREL data are used to scale down from total to manufacturing consumption by fuel type.</t>
  </si>
  <si>
    <t xml:space="preserve">- NREL does not include feedstock and overestimates coal consumption compared to SEDS by a factor of 5, so can't solely use this source. However, it's general split </t>
  </si>
  <si>
    <t xml:space="preserve">- EIA SEDS data is by fuel type, but doesn't use EPS fuel categories and doesn't distinguish between major industry (manufacturing/ag/mining/construction) or </t>
  </si>
  <si>
    <t xml:space="preserve">- EIA MECS only goes to regional, but can assume regional trends in consumption (fuel-type and feedstock) by subindustry holds for Texas. </t>
  </si>
  <si>
    <t xml:space="preserve">From there, MECS data are used to distribute manufacturing energy use between subindustries by fuel type, including feedstock. Some assumptions are made to </t>
  </si>
  <si>
    <t xml:space="preserve">account for different terminologies used between data sets and the EPS. </t>
  </si>
  <si>
    <t>- 'other' fuel type in NREL dataset refers to fuel types listed in MECS table 3.5 (confirmed by NREL dataset owner)</t>
  </si>
  <si>
    <t xml:space="preserve">       This means that some of the 'other' fuel in NREL is distributed into other categories to better split fuel use between major industry categories</t>
  </si>
  <si>
    <t xml:space="preserve">- 'other' feedstock energy in MECS is all LPG/butane/propane category, based on technical notes </t>
  </si>
  <si>
    <t>- The 'other losses/coproducts' category of biomass in EIA SEDS is assumed to be on-site generated and thus not counted in total</t>
  </si>
  <si>
    <t>- All TX crude oil is attributable to natural gas and petroleum systems</t>
  </si>
  <si>
    <t xml:space="preserve">Major Assumptions (smaller assumptions are listed next to calculations): </t>
  </si>
  <si>
    <t>- All petcoke in manufacturing is offsite except for natural gas and patroleum systems where it correlates to the 'other' category in offsite fuel consumption (MECS table 4.2)</t>
  </si>
  <si>
    <t>industry</t>
  </si>
  <si>
    <t>lease+plant</t>
  </si>
  <si>
    <t>natural gas:</t>
  </si>
  <si>
    <t>^note that SEDS includes industrial consumption, lease, and plant fuel together for natural gas. Lease and plant fuel in the EPS is all allocated to the natural gas and petroleum industries, so must be separated from aggregate natural gas consumption</t>
  </si>
  <si>
    <t>^cf</t>
  </si>
  <si>
    <t>^trillion BTU</t>
  </si>
  <si>
    <t>Industry:</t>
  </si>
  <si>
    <t xml:space="preserve">Plant + Lease: </t>
  </si>
  <si>
    <t>Natural Gas Allocation</t>
  </si>
  <si>
    <t>NG heat and power growth rate</t>
  </si>
  <si>
    <t>NG feedstock growth rate</t>
  </si>
  <si>
    <t>subtotal with everything</t>
  </si>
  <si>
    <t>lease and plant</t>
  </si>
  <si>
    <t>ng heat and power and feedstock</t>
  </si>
  <si>
    <t>heat and power + feedstock</t>
  </si>
  <si>
    <t>NG growth rates from Data tab</t>
  </si>
  <si>
    <t>- TX industrial energy consumption will scale in line with national projections (except coal mining, which goes to 0 because we stop producing coal)</t>
  </si>
  <si>
    <t>From BTU Conversion Factors (BTU/short ton)</t>
  </si>
  <si>
    <t>lignite</t>
  </si>
  <si>
    <t>Total Lignite Consumption [millions of short tons / year]</t>
  </si>
  <si>
    <t xml:space="preserve">Scaling Factor to reduce coal mining energy consumption </t>
  </si>
  <si>
    <t>*BAU coal consumption goes to almost 0 in EPS, so we need to lower our production of coal to be in line with the assumption</t>
  </si>
  <si>
    <t xml:space="preserve">that, in response to decreased fuel consumption, we lower production instead of exporting it instead. This means energy for </t>
  </si>
  <si>
    <t xml:space="preserve">coal mining will also decrease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</si>
</sst>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0.000E+00"/>
    <numFmt numFmtId="167" formatCode="#,##0.00000"/>
    <numFmt numFmtId="168" formatCode="#,##0.0000"/>
    <numFmt numFmtId="169" formatCode="#,##0.000000"/>
    <numFmt numFmtId="170" formatCode="#,##0.000"/>
    <numFmt numFmtId="171" formatCode="0.0"/>
    <numFmt numFmtId="172" formatCode="0.0000"/>
    <numFmt numFmtId="173" formatCode="yyyy\-mm\-dd"/>
    <numFmt numFmtId="174" formatCode="yyyy"/>
    <numFmt numFmtId="175" formatCode="0.00;[Red]0.00"/>
  </numFmts>
  <fonts count="7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theme="4"/>
      <name val="Calibri"/>
      <family val="2"/>
      <scheme val="minor"/>
    </font>
    <font>
      <sz val="9"/>
      <color rgb="FF000000"/>
      <name val="Calibri"/>
      <family val="2"/>
    </font>
    <font>
      <sz val="11"/>
      <color theme="1"/>
      <name val="Calibri"/>
      <family val="2"/>
      <scheme val="minor"/>
    </font>
    <font>
      <sz val="12"/>
      <name val="Helv"/>
    </font>
    <font>
      <b/>
      <sz val="9"/>
      <color indexed="8"/>
      <name val="Calibri"/>
      <family val="2"/>
    </font>
    <font>
      <sz val="11"/>
      <color rgb="FFFF0000"/>
      <name val="Calibri"/>
      <family val="2"/>
      <scheme val="minor"/>
    </font>
    <font>
      <sz val="9"/>
      <color indexed="8"/>
      <name val="Calibri"/>
      <family val="2"/>
    </font>
    <font>
      <sz val="10"/>
      <color indexed="8"/>
      <name val="Arial"/>
      <family val="2"/>
    </font>
    <font>
      <sz val="8"/>
      <name val="Arial"/>
      <family val="2"/>
    </font>
    <font>
      <b/>
      <sz val="12"/>
      <color indexed="30"/>
      <name val="Calibri"/>
      <family val="2"/>
    </font>
    <font>
      <sz val="9"/>
      <name val="Calibri"/>
      <family val="2"/>
    </font>
    <font>
      <sz val="11"/>
      <color theme="0" tint="-0.249977111117893"/>
      <name val="Calibri"/>
      <family val="2"/>
      <scheme val="minor"/>
    </font>
    <font>
      <b/>
      <sz val="12"/>
      <color theme="1"/>
      <name val="Calibri"/>
      <family val="2"/>
      <scheme val="minor"/>
    </font>
    <font>
      <sz val="16.5"/>
      <color rgb="FF333333"/>
      <name val="Times New Roman"/>
      <family val="1"/>
    </font>
    <font>
      <sz val="12"/>
      <color rgb="FF333333"/>
      <name val="Inherit"/>
    </font>
    <font>
      <i/>
      <sz val="12"/>
      <color rgb="FF333333"/>
      <name val="Inherit"/>
    </font>
    <font>
      <b/>
      <sz val="20"/>
      <color theme="1"/>
      <name val="Calibri"/>
      <family val="2"/>
      <scheme val="minor"/>
    </font>
    <font>
      <b/>
      <sz val="11"/>
      <color rgb="FF333333"/>
      <name val="Inherit"/>
    </font>
    <font>
      <sz val="11"/>
      <color rgb="FF333333"/>
      <name val="Arial"/>
      <family val="2"/>
    </font>
    <font>
      <sz val="11"/>
      <color rgb="FF000000"/>
      <name val="Calibri"/>
      <family val="2"/>
      <scheme val="minor"/>
    </font>
    <font>
      <i/>
      <sz val="11"/>
      <color theme="1"/>
      <name val="Calibri"/>
      <family val="2"/>
      <scheme val="minor"/>
    </font>
    <font>
      <sz val="9"/>
      <color theme="1"/>
      <name val="Calibri"/>
      <family val="2"/>
    </font>
    <font>
      <sz val="12"/>
      <color rgb="FF000000"/>
      <name val="Calibri"/>
      <family val="2"/>
      <scheme val="minor"/>
    </font>
    <font>
      <u/>
      <sz val="10"/>
      <color indexed="12"/>
      <name val="Arial"/>
      <family val="2"/>
    </font>
    <font>
      <b/>
      <sz val="12"/>
      <color indexed="18"/>
      <name val="Arial"/>
      <family val="2"/>
    </font>
    <font>
      <b/>
      <sz val="9"/>
      <name val="Arial"/>
      <family val="2"/>
    </font>
    <font>
      <b/>
      <sz val="10"/>
      <name val="Arial"/>
      <family val="2"/>
    </font>
    <font>
      <b/>
      <sz val="14"/>
      <color indexed="18"/>
      <name val="Arial"/>
      <family val="2"/>
    </font>
    <font>
      <sz val="10"/>
      <name val="Arial"/>
      <family val="2"/>
    </font>
    <font>
      <b/>
      <sz val="10"/>
      <color indexed="9"/>
      <name val="Arial"/>
      <family val="2"/>
    </font>
    <font>
      <b/>
      <u/>
      <sz val="10"/>
      <color indexed="12"/>
      <name val="Arial"/>
      <family val="2"/>
    </font>
    <font>
      <sz val="10"/>
      <color indexed="63"/>
      <name val="Arial"/>
      <family val="2"/>
    </font>
    <font>
      <sz val="10"/>
      <color indexed="9"/>
      <name val="Arial"/>
      <family val="2"/>
    </font>
    <font>
      <b/>
      <i/>
      <sz val="12"/>
      <color theme="1"/>
      <name val="Arial"/>
      <family val="2"/>
    </font>
    <font>
      <sz val="10"/>
      <color theme="1"/>
      <name val="Arial"/>
      <family val="2"/>
    </font>
    <font>
      <b/>
      <i/>
      <sz val="12"/>
      <color theme="1"/>
      <name val="Calibri"/>
      <family val="2"/>
      <scheme val="minor"/>
    </font>
    <font>
      <sz val="10"/>
      <color theme="1"/>
      <name val="Calibri"/>
      <family val="2"/>
      <scheme val="minor"/>
    </font>
    <font>
      <sz val="14"/>
      <color theme="1"/>
      <name val="Calibri"/>
      <family val="2"/>
      <scheme val="minor"/>
    </font>
    <font>
      <sz val="9"/>
      <color theme="0" tint="-0.249977111117893"/>
      <name val="Calibri"/>
      <family val="2"/>
      <scheme val="minor"/>
    </font>
    <font>
      <u/>
      <sz val="10"/>
      <color theme="0" tint="-0.249977111117893"/>
      <name val="Calibri"/>
      <family val="2"/>
      <scheme val="minor"/>
    </font>
    <font>
      <sz val="9"/>
      <name val="Calibri"/>
      <family val="2"/>
      <scheme val="minor"/>
    </font>
    <font>
      <sz val="10"/>
      <color theme="0" tint="-0.249977111117893"/>
      <name val="Calibri"/>
      <family val="2"/>
      <scheme val="minor"/>
    </font>
    <font>
      <sz val="12"/>
      <color theme="0" tint="-0.249977111117893"/>
      <name val="Calibri"/>
      <family val="2"/>
      <scheme val="minor"/>
    </font>
    <font>
      <sz val="12"/>
      <color rgb="FF333333"/>
      <name val="Calibri"/>
      <family val="2"/>
      <scheme val="minor"/>
    </font>
    <font>
      <b/>
      <sz val="9"/>
      <color theme="0" tint="-0.249977111117893"/>
      <name val="Calibri"/>
      <family val="2"/>
      <scheme val="minor"/>
    </font>
    <font>
      <b/>
      <sz val="14"/>
      <color theme="1"/>
      <name val="Calibri"/>
      <family val="2"/>
      <scheme val="minor"/>
    </font>
    <font>
      <i/>
      <sz val="9"/>
      <color theme="1"/>
      <name val="Calibri"/>
      <family val="2"/>
      <scheme val="minor"/>
    </font>
    <font>
      <b/>
      <sz val="10"/>
      <color theme="1"/>
      <name val="Calibri"/>
      <family val="2"/>
      <scheme val="minor"/>
    </font>
    <font>
      <sz val="20"/>
      <color theme="1"/>
      <name val="Calibri"/>
      <family val="2"/>
      <scheme val="minor"/>
    </font>
    <font>
      <sz val="20"/>
      <color rgb="FF000000"/>
      <name val="Calibri"/>
      <family val="2"/>
      <scheme val="minor"/>
    </font>
    <font>
      <sz val="10"/>
      <color rgb="FF000000"/>
      <name val="Tahoma"/>
      <family val="2"/>
    </font>
    <font>
      <b/>
      <sz val="10"/>
      <color rgb="FF000000"/>
      <name val="Tahoma"/>
      <family val="2"/>
    </font>
    <font>
      <sz val="11"/>
      <color theme="0" tint="-0.14999847407452621"/>
      <name val="Calibri"/>
      <family val="2"/>
      <scheme val="minor"/>
    </font>
    <font>
      <b/>
      <sz val="11"/>
      <color theme="0" tint="-0.249977111117893"/>
      <name val="Calibri"/>
      <family val="2"/>
      <scheme val="minor"/>
    </font>
    <font>
      <sz val="16"/>
      <color theme="1"/>
      <name val="Calibri"/>
      <family val="2"/>
      <scheme val="minor"/>
    </font>
    <font>
      <b/>
      <sz val="11"/>
      <color theme="0" tint="-0.14999847407452621"/>
      <name val="Calibri"/>
      <family val="2"/>
      <scheme val="minor"/>
    </font>
    <font>
      <u/>
      <sz val="11"/>
      <color theme="0" tint="-0.249977111117893"/>
      <name val="Calibri"/>
      <family val="2"/>
      <scheme val="minor"/>
    </font>
    <font>
      <sz val="11"/>
      <color rgb="FF7F7F7F"/>
      <name val="Calibri"/>
      <family val="2"/>
      <scheme val="minor"/>
    </font>
    <font>
      <sz val="11"/>
      <color theme="1"/>
      <name val="Calibri (Body)"/>
    </font>
  </fonts>
  <fills count="1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s>
  <borders count="4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dashed">
        <color rgb="FFBFBFBF"/>
      </bottom>
      <diagonal/>
    </border>
    <border>
      <left/>
      <right/>
      <top/>
      <bottom style="thin">
        <color rgb="FFBFBFBF"/>
      </bottom>
      <diagonal/>
    </border>
    <border>
      <left/>
      <right/>
      <top/>
      <bottom style="thick">
        <color rgb="FF0096D7"/>
      </bottom>
      <diagonal/>
    </border>
    <border>
      <left/>
      <right/>
      <top style="medium">
        <color rgb="FF0096D7"/>
      </top>
      <bottom/>
      <diagonal/>
    </border>
    <border>
      <left/>
      <right/>
      <top style="thick">
        <color rgb="FF0096D7"/>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top style="dashed">
        <color theme="0" tint="-0.24994659260841701"/>
      </top>
      <bottom/>
      <diagonal/>
    </border>
    <border>
      <left/>
      <right/>
      <top style="dashed">
        <color theme="0" tint="-0.24994659260841701"/>
      </top>
      <bottom style="dashed">
        <color theme="0" tint="-0.2499465926084170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dashed">
        <color theme="0" tint="-0.24994659260841701"/>
      </bottom>
      <diagonal/>
    </border>
  </borders>
  <cellStyleXfs count="26">
    <xf numFmtId="0" fontId="0" fillId="0" borderId="0"/>
    <xf numFmtId="0" fontId="8" fillId="0" borderId="1" applyNumberFormat="0" applyProtection="0">
      <alignment wrapText="1"/>
    </xf>
    <xf numFmtId="0" fontId="9" fillId="0" borderId="2" applyNumberFormat="0" applyFont="0" applyProtection="0">
      <alignment wrapText="1"/>
    </xf>
    <xf numFmtId="0" fontId="8" fillId="0" borderId="7" applyNumberFormat="0" applyProtection="0">
      <alignment horizontal="left" wrapText="1"/>
    </xf>
    <xf numFmtId="0" fontId="8" fillId="0" borderId="6" applyNumberFormat="0" applyFill="0" applyProtection="0">
      <alignment wrapText="1"/>
    </xf>
    <xf numFmtId="0" fontId="8" fillId="0" borderId="4" applyNumberFormat="0" applyProtection="0">
      <alignment wrapText="1"/>
    </xf>
    <xf numFmtId="0" fontId="9" fillId="0" borderId="3" applyNumberFormat="0" applyProtection="0">
      <alignment vertical="top" wrapText="1"/>
    </xf>
    <xf numFmtId="0" fontId="9" fillId="0" borderId="5" applyNumberFormat="0" applyFont="0" applyFill="0" applyProtection="0">
      <alignment wrapText="1"/>
    </xf>
    <xf numFmtId="0" fontId="9"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9" fillId="0" borderId="0" applyNumberFormat="0" applyProtection="0">
      <alignment vertical="top" wrapText="1"/>
    </xf>
    <xf numFmtId="0" fontId="12" fillId="0" borderId="0" applyNumberFormat="0" applyProtection="0">
      <alignment horizontal="left"/>
    </xf>
    <xf numFmtId="0" fontId="16" fillId="0" borderId="0"/>
    <xf numFmtId="0" fontId="16" fillId="0" borderId="0"/>
    <xf numFmtId="0" fontId="16" fillId="0" borderId="0"/>
    <xf numFmtId="0" fontId="16" fillId="0" borderId="0"/>
    <xf numFmtId="0" fontId="15" fillId="0" borderId="0"/>
    <xf numFmtId="9" fontId="15" fillId="0" borderId="0" applyFont="0" applyFill="0" applyBorder="0" applyAlignment="0" applyProtection="0"/>
    <xf numFmtId="0" fontId="19" fillId="0" borderId="0"/>
    <xf numFmtId="0" fontId="19" fillId="0" borderId="0" applyNumberFormat="0" applyFill="0" applyBorder="0" applyAlignment="0" applyProtection="0"/>
    <xf numFmtId="0" fontId="17" fillId="0" borderId="10" applyNumberFormat="0" applyProtection="0">
      <alignment wrapText="1"/>
    </xf>
    <xf numFmtId="0" fontId="22" fillId="0" borderId="0" applyNumberFormat="0" applyProtection="0">
      <alignment horizontal="left"/>
    </xf>
    <xf numFmtId="0" fontId="17" fillId="0" borderId="9" applyNumberFormat="0" applyProtection="0">
      <alignment wrapText="1"/>
    </xf>
    <xf numFmtId="0" fontId="19" fillId="0" borderId="8" applyNumberFormat="0" applyFont="0" applyProtection="0">
      <alignment wrapText="1"/>
    </xf>
    <xf numFmtId="0" fontId="19" fillId="0" borderId="11" applyNumberFormat="0" applyProtection="0">
      <alignment wrapText="1"/>
    </xf>
  </cellStyleXfs>
  <cellXfs count="499">
    <xf numFmtId="0" fontId="0" fillId="0" borderId="0" xfId="0"/>
    <xf numFmtId="0" fontId="7" fillId="0" borderId="0" xfId="0" applyFont="1"/>
    <xf numFmtId="0" fontId="7" fillId="2" borderId="0" xfId="0" applyFont="1" applyFill="1"/>
    <xf numFmtId="0" fontId="13" fillId="0" borderId="0" xfId="9" applyFont="1" applyAlignment="1" applyProtection="1"/>
    <xf numFmtId="0" fontId="7" fillId="2" borderId="0" xfId="8" applyFont="1" applyFill="1"/>
    <xf numFmtId="0" fontId="0" fillId="0" borderId="0" xfId="0"/>
    <xf numFmtId="0" fontId="9" fillId="0" borderId="0" xfId="0" applyFont="1"/>
    <xf numFmtId="0" fontId="9" fillId="0" borderId="0" xfId="0" applyNumberFormat="1" applyFont="1" applyBorder="1" applyAlignment="1" applyProtection="1">
      <alignment horizontal="right"/>
      <protection locked="0"/>
    </xf>
    <xf numFmtId="0" fontId="0" fillId="2" borderId="0" xfId="0" applyFill="1"/>
    <xf numFmtId="0" fontId="14" fillId="0" borderId="0" xfId="0" applyFont="1" applyFill="1" applyBorder="1"/>
    <xf numFmtId="0" fontId="14" fillId="0" borderId="0" xfId="2" applyFont="1" applyFill="1" applyBorder="1" applyAlignment="1">
      <alignment wrapText="1"/>
    </xf>
    <xf numFmtId="1" fontId="9" fillId="0" borderId="0" xfId="0" applyNumberFormat="1" applyFont="1"/>
    <xf numFmtId="0" fontId="0" fillId="0" borderId="8" xfId="2" applyFont="1" applyFill="1" applyBorder="1" applyAlignment="1">
      <alignment wrapText="1"/>
    </xf>
    <xf numFmtId="164" fontId="0" fillId="0" borderId="2" xfId="2" applyNumberFormat="1" applyFont="1" applyFill="1" applyAlignment="1">
      <alignment horizontal="right" wrapText="1"/>
    </xf>
    <xf numFmtId="0" fontId="17" fillId="0" borderId="9" xfId="5" applyFont="1" applyFill="1" applyBorder="1" applyAlignment="1">
      <alignment wrapText="1"/>
    </xf>
    <xf numFmtId="164" fontId="8" fillId="0" borderId="4" xfId="5" applyNumberFormat="1" applyFill="1" applyAlignment="1">
      <alignment horizontal="right" wrapText="1"/>
    </xf>
    <xf numFmtId="4" fontId="0" fillId="0" borderId="2" xfId="2" applyNumberFormat="1" applyFont="1" applyFill="1" applyAlignment="1">
      <alignment horizontal="right" wrapText="1"/>
    </xf>
    <xf numFmtId="4" fontId="8" fillId="0" borderId="4" xfId="5" applyNumberFormat="1" applyFill="1" applyAlignment="1">
      <alignment horizontal="right" wrapText="1"/>
    </xf>
    <xf numFmtId="0" fontId="0" fillId="0" borderId="0" xfId="0" applyFont="1"/>
    <xf numFmtId="165" fontId="0" fillId="0" borderId="2" xfId="2" applyNumberFormat="1" applyFont="1" applyFill="1" applyAlignment="1">
      <alignment horizontal="right" wrapText="1"/>
    </xf>
    <xf numFmtId="165" fontId="8" fillId="0" borderId="4" xfId="5" applyNumberFormat="1" applyFill="1" applyAlignment="1">
      <alignment horizontal="right" wrapText="1"/>
    </xf>
    <xf numFmtId="166" fontId="0" fillId="0" borderId="0" xfId="0" applyNumberFormat="1"/>
    <xf numFmtId="1" fontId="7" fillId="0" borderId="0" xfId="0" applyNumberFormat="1" applyFont="1"/>
    <xf numFmtId="0" fontId="17" fillId="0" borderId="10" xfId="1" applyFont="1" applyFill="1" applyBorder="1" applyAlignment="1">
      <alignment wrapText="1"/>
    </xf>
    <xf numFmtId="4" fontId="0" fillId="0" borderId="0" xfId="0" applyNumberFormat="1"/>
    <xf numFmtId="0" fontId="7" fillId="0" borderId="0" xfId="8" applyFont="1" applyFill="1"/>
    <xf numFmtId="0" fontId="0" fillId="0" borderId="0" xfId="0" applyFill="1"/>
    <xf numFmtId="0" fontId="7" fillId="0" borderId="0" xfId="2" applyFont="1" applyFill="1" applyBorder="1" applyAlignment="1">
      <alignment wrapText="1"/>
    </xf>
    <xf numFmtId="11" fontId="0" fillId="0" borderId="0" xfId="0" applyNumberFormat="1"/>
    <xf numFmtId="167" fontId="0" fillId="0" borderId="0" xfId="0" applyNumberFormat="1"/>
    <xf numFmtId="0" fontId="0" fillId="0" borderId="0" xfId="0" applyNumberFormat="1"/>
    <xf numFmtId="0" fontId="7" fillId="3" borderId="0" xfId="0" applyFont="1" applyFill="1"/>
    <xf numFmtId="0" fontId="0" fillId="3" borderId="0" xfId="0" applyFill="1"/>
    <xf numFmtId="0" fontId="0" fillId="0" borderId="0" xfId="0" applyNumberFormat="1" applyFill="1"/>
    <xf numFmtId="166" fontId="0" fillId="0" borderId="0" xfId="0" applyNumberFormat="1" applyFill="1"/>
    <xf numFmtId="0" fontId="18" fillId="0" borderId="8" xfId="2" applyFont="1" applyFill="1" applyBorder="1" applyAlignment="1">
      <alignment wrapText="1"/>
    </xf>
    <xf numFmtId="0" fontId="0" fillId="0" borderId="0" xfId="0" applyFont="1" applyFill="1"/>
    <xf numFmtId="11" fontId="0" fillId="0" borderId="0" xfId="0" applyNumberFormat="1" applyFill="1"/>
    <xf numFmtId="2" fontId="0" fillId="0" borderId="0" xfId="0" applyNumberFormat="1" applyFill="1"/>
    <xf numFmtId="1" fontId="0" fillId="0" borderId="0" xfId="0" applyNumberFormat="1" applyFill="1"/>
    <xf numFmtId="4" fontId="0" fillId="0" borderId="0" xfId="0" applyNumberFormat="1" applyFill="1"/>
    <xf numFmtId="0" fontId="7" fillId="0" borderId="0" xfId="0" applyFont="1" applyFill="1"/>
    <xf numFmtId="2" fontId="7" fillId="0" borderId="0" xfId="0" applyNumberFormat="1" applyFont="1" applyFill="1"/>
    <xf numFmtId="0" fontId="9" fillId="0" borderId="0" xfId="0" applyNumberFormat="1" applyFont="1" applyFill="1" applyBorder="1" applyAlignment="1" applyProtection="1">
      <alignment horizontal="right"/>
      <protection locked="0"/>
    </xf>
    <xf numFmtId="0" fontId="9" fillId="0" borderId="0" xfId="0" applyFont="1" applyFill="1"/>
    <xf numFmtId="1" fontId="9" fillId="0" borderId="0" xfId="0" applyNumberFormat="1" applyFont="1" applyFill="1"/>
    <xf numFmtId="167" fontId="0" fillId="0" borderId="0" xfId="0" applyNumberFormat="1" applyFill="1"/>
    <xf numFmtId="168" fontId="0" fillId="0" borderId="0" xfId="0" applyNumberFormat="1"/>
    <xf numFmtId="169" fontId="0" fillId="0" borderId="0" xfId="0" applyNumberFormat="1"/>
    <xf numFmtId="9" fontId="0" fillId="0" borderId="0" xfId="18" applyFont="1"/>
    <xf numFmtId="0" fontId="0" fillId="0" borderId="0" xfId="0" applyAlignment="1" applyProtection="1">
      <alignment horizontal="left"/>
    </xf>
    <xf numFmtId="0" fontId="23" fillId="0" borderId="0" xfId="0" applyFont="1"/>
    <xf numFmtId="0" fontId="19" fillId="0" borderId="0" xfId="19"/>
    <xf numFmtId="0" fontId="19" fillId="0" borderId="0" xfId="20" applyFont="1"/>
    <xf numFmtId="0" fontId="17" fillId="0" borderId="10" xfId="21" applyFont="1" applyFill="1" applyBorder="1" applyAlignment="1">
      <alignment wrapText="1"/>
    </xf>
    <xf numFmtId="0" fontId="20" fillId="0" borderId="0" xfId="19" applyFont="1"/>
    <xf numFmtId="0" fontId="21" fillId="0" borderId="0" xfId="19" applyFont="1"/>
    <xf numFmtId="0" fontId="22" fillId="0" borderId="0" xfId="22" applyFont="1" applyFill="1" applyBorder="1" applyAlignment="1">
      <alignment horizontal="left"/>
    </xf>
    <xf numFmtId="0" fontId="19" fillId="0" borderId="0" xfId="19" applyAlignment="1" applyProtection="1">
      <alignment horizontal="left"/>
    </xf>
    <xf numFmtId="0" fontId="17" fillId="0" borderId="9" xfId="23" applyFont="1" applyFill="1" applyBorder="1" applyAlignment="1">
      <alignment wrapText="1"/>
    </xf>
    <xf numFmtId="0" fontId="0" fillId="0" borderId="8" xfId="24" applyFont="1" applyFill="1" applyBorder="1" applyAlignment="1">
      <alignment wrapText="1"/>
    </xf>
    <xf numFmtId="170" fontId="0" fillId="0" borderId="8" xfId="24" applyNumberFormat="1" applyFont="1" applyFill="1" applyAlignment="1">
      <alignment horizontal="right" wrapText="1"/>
    </xf>
    <xf numFmtId="165" fontId="0" fillId="0" borderId="8" xfId="24" applyNumberFormat="1" applyFont="1" applyFill="1" applyAlignment="1">
      <alignment horizontal="right" wrapText="1"/>
    </xf>
    <xf numFmtId="0" fontId="19" fillId="0" borderId="9" xfId="23" applyFont="1" applyFill="1" applyBorder="1" applyAlignment="1">
      <alignment wrapText="1"/>
    </xf>
    <xf numFmtId="4" fontId="0" fillId="0" borderId="8" xfId="24" applyNumberFormat="1" applyFont="1" applyFill="1" applyAlignment="1">
      <alignment horizontal="right" wrapText="1"/>
    </xf>
    <xf numFmtId="3" fontId="17" fillId="0" borderId="9" xfId="23" applyNumberFormat="1" applyFill="1" applyAlignment="1">
      <alignment horizontal="right" wrapText="1"/>
    </xf>
    <xf numFmtId="165" fontId="17" fillId="0" borderId="9" xfId="23" applyNumberFormat="1" applyFill="1" applyAlignment="1">
      <alignment horizontal="right" wrapText="1"/>
    </xf>
    <xf numFmtId="0" fontId="23" fillId="0" borderId="0" xfId="19" applyFont="1"/>
    <xf numFmtId="0" fontId="0" fillId="0" borderId="0" xfId="2" applyFont="1" applyFill="1" applyBorder="1" applyAlignment="1">
      <alignment wrapText="1"/>
    </xf>
    <xf numFmtId="164" fontId="17" fillId="0" borderId="9" xfId="23" applyNumberFormat="1" applyFill="1" applyAlignment="1">
      <alignment horizontal="right" wrapText="1"/>
    </xf>
    <xf numFmtId="164" fontId="0" fillId="0" borderId="8" xfId="24" applyNumberFormat="1" applyFont="1" applyFill="1" applyAlignment="1">
      <alignment horizontal="right" wrapText="1"/>
    </xf>
    <xf numFmtId="4" fontId="17" fillId="0" borderId="9" xfId="23" applyNumberFormat="1" applyFill="1" applyAlignment="1">
      <alignment horizontal="right" wrapText="1"/>
    </xf>
    <xf numFmtId="0" fontId="0" fillId="4" borderId="8" xfId="24" applyFont="1" applyFill="1" applyBorder="1" applyAlignment="1">
      <alignment wrapText="1"/>
    </xf>
    <xf numFmtId="0" fontId="0" fillId="4" borderId="8" xfId="2" applyFont="1" applyFill="1" applyBorder="1" applyAlignment="1">
      <alignment wrapText="1"/>
    </xf>
    <xf numFmtId="164" fontId="0" fillId="4" borderId="2" xfId="2" applyNumberFormat="1" applyFont="1" applyFill="1" applyAlignment="1">
      <alignment horizontal="right" wrapText="1"/>
    </xf>
    <xf numFmtId="165" fontId="0" fillId="4" borderId="2" xfId="2" applyNumberFormat="1" applyFont="1" applyFill="1" applyAlignment="1">
      <alignment horizontal="right" wrapText="1"/>
    </xf>
    <xf numFmtId="0" fontId="14" fillId="4" borderId="0" xfId="0" applyFont="1" applyFill="1" applyBorder="1"/>
    <xf numFmtId="0" fontId="17" fillId="4" borderId="9" xfId="5" applyFont="1" applyFill="1" applyBorder="1" applyAlignment="1">
      <alignment wrapText="1"/>
    </xf>
    <xf numFmtId="164" fontId="8" fillId="4" borderId="4" xfId="5" applyNumberFormat="1" applyFill="1" applyAlignment="1">
      <alignment horizontal="right" wrapText="1"/>
    </xf>
    <xf numFmtId="165" fontId="8" fillId="4" borderId="4" xfId="5" applyNumberFormat="1" applyFill="1" applyAlignment="1">
      <alignment horizontal="right" wrapText="1"/>
    </xf>
    <xf numFmtId="0" fontId="7" fillId="4" borderId="0" xfId="0" applyFont="1" applyFill="1"/>
    <xf numFmtId="171" fontId="0" fillId="0" borderId="0" xfId="0" applyNumberFormat="1"/>
    <xf numFmtId="0" fontId="0" fillId="0" borderId="8" xfId="2" applyFont="1" applyFill="1" applyBorder="1" applyAlignment="1"/>
    <xf numFmtId="0" fontId="0" fillId="0" borderId="8" xfId="24" applyFont="1" applyFill="1" applyBorder="1" applyAlignment="1"/>
    <xf numFmtId="0" fontId="21" fillId="3" borderId="0" xfId="19" applyFont="1" applyFill="1"/>
    <xf numFmtId="0" fontId="0" fillId="3" borderId="8" xfId="24" applyFont="1" applyFill="1" applyBorder="1" applyAlignment="1">
      <alignment wrapText="1"/>
    </xf>
    <xf numFmtId="170" fontId="0" fillId="3" borderId="8" xfId="24" applyNumberFormat="1" applyFont="1" applyFill="1" applyAlignment="1">
      <alignment horizontal="right" wrapText="1"/>
    </xf>
    <xf numFmtId="165" fontId="0" fillId="3" borderId="8" xfId="24" applyNumberFormat="1" applyFont="1" applyFill="1" applyAlignment="1">
      <alignment horizontal="right" wrapText="1"/>
    </xf>
    <xf numFmtId="0" fontId="19" fillId="3" borderId="0" xfId="19" applyFill="1"/>
    <xf numFmtId="0" fontId="17" fillId="0" borderId="0" xfId="5" applyFont="1" applyFill="1" applyBorder="1" applyAlignment="1">
      <alignment wrapText="1"/>
    </xf>
    <xf numFmtId="0" fontId="0" fillId="4" borderId="0" xfId="2" applyFont="1" applyFill="1" applyBorder="1" applyAlignment="1">
      <alignment wrapText="1"/>
    </xf>
    <xf numFmtId="0" fontId="17" fillId="4" borderId="0" xfId="5" applyFont="1" applyFill="1" applyBorder="1" applyAlignment="1">
      <alignment wrapText="1"/>
    </xf>
    <xf numFmtId="0" fontId="17" fillId="0" borderId="0" xfId="23" applyFont="1" applyFill="1" applyBorder="1" applyAlignment="1">
      <alignment wrapText="1"/>
    </xf>
    <xf numFmtId="0" fontId="20" fillId="0" borderId="0" xfId="0" applyFont="1"/>
    <xf numFmtId="0" fontId="21" fillId="0" borderId="0" xfId="0" applyFont="1"/>
    <xf numFmtId="3" fontId="0" fillId="0" borderId="8" xfId="24" applyNumberFormat="1" applyFont="1" applyFill="1" applyAlignment="1">
      <alignment horizontal="right" wrapText="1"/>
    </xf>
    <xf numFmtId="9" fontId="0" fillId="0" borderId="0" xfId="0" applyNumberFormat="1"/>
    <xf numFmtId="0" fontId="0" fillId="0" borderId="0" xfId="0" applyAlignment="1">
      <alignment horizontal="right"/>
    </xf>
    <xf numFmtId="172" fontId="0" fillId="0" borderId="0" xfId="0" applyNumberFormat="1"/>
    <xf numFmtId="1" fontId="0" fillId="0" borderId="0" xfId="0" applyNumberFormat="1"/>
    <xf numFmtId="0" fontId="0" fillId="5" borderId="0" xfId="0" applyFill="1"/>
    <xf numFmtId="9" fontId="0" fillId="2" borderId="0" xfId="0" applyNumberFormat="1" applyFill="1"/>
    <xf numFmtId="171" fontId="0" fillId="5" borderId="0" xfId="0" applyNumberFormat="1" applyFill="1"/>
    <xf numFmtId="173" fontId="0" fillId="0" borderId="0" xfId="0" applyNumberFormat="1"/>
    <xf numFmtId="0" fontId="24" fillId="0" borderId="0" xfId="0" applyFont="1"/>
    <xf numFmtId="0" fontId="0" fillId="0" borderId="0" xfId="0" applyAlignment="1">
      <alignment horizontal="right" wrapText="1"/>
    </xf>
    <xf numFmtId="9" fontId="7" fillId="2" borderId="0" xfId="0" applyNumberFormat="1" applyFont="1" applyFill="1"/>
    <xf numFmtId="10" fontId="0" fillId="0" borderId="0" xfId="18" applyNumberFormat="1" applyFont="1"/>
    <xf numFmtId="9" fontId="0" fillId="0" borderId="0" xfId="18" applyFont="1" applyAlignment="1">
      <alignment horizontal="right" wrapText="1"/>
    </xf>
    <xf numFmtId="9" fontId="0" fillId="5" borderId="0" xfId="0" applyNumberFormat="1" applyFill="1"/>
    <xf numFmtId="171" fontId="0" fillId="3" borderId="0" xfId="0" applyNumberFormat="1" applyFill="1"/>
    <xf numFmtId="0" fontId="7" fillId="5" borderId="0" xfId="2" applyFont="1" applyFill="1" applyBorder="1" applyAlignment="1"/>
    <xf numFmtId="0" fontId="9" fillId="0" borderId="0" xfId="8"/>
    <xf numFmtId="0" fontId="12" fillId="0" borderId="0" xfId="12" applyProtection="1">
      <alignment horizontal="left"/>
    </xf>
    <xf numFmtId="0" fontId="12" fillId="0" borderId="0" xfId="12">
      <alignment horizontal="left"/>
    </xf>
    <xf numFmtId="0" fontId="8" fillId="0" borderId="0" xfId="8" applyFont="1" applyAlignment="1" applyProtection="1">
      <alignment horizontal="left" indent="2"/>
    </xf>
    <xf numFmtId="0" fontId="8" fillId="0" borderId="0" xfId="8" applyFont="1" applyAlignment="1">
      <alignment horizontal="left" indent="2"/>
    </xf>
    <xf numFmtId="0" fontId="9" fillId="0" borderId="0" xfId="8" applyAlignment="1" applyProtection="1">
      <alignment horizontal="left"/>
    </xf>
    <xf numFmtId="0" fontId="8" fillId="0" borderId="0" xfId="8" applyFont="1" applyAlignment="1" applyProtection="1">
      <alignment horizontal="left"/>
    </xf>
    <xf numFmtId="49" fontId="8" fillId="0" borderId="0" xfId="8" applyNumberFormat="1" applyFont="1" applyAlignment="1" applyProtection="1">
      <alignment horizontal="left"/>
    </xf>
    <xf numFmtId="0" fontId="8" fillId="0" borderId="0" xfId="8" applyFont="1" applyAlignment="1" applyProtection="1">
      <alignment horizontal="center"/>
    </xf>
    <xf numFmtId="0" fontId="8" fillId="0" borderId="0" xfId="8" applyFont="1"/>
    <xf numFmtId="0" fontId="8" fillId="0" borderId="0" xfId="8" applyFont="1" applyAlignment="1" applyProtection="1">
      <alignment horizontal="right"/>
    </xf>
    <xf numFmtId="0" fontId="8" fillId="0" borderId="0" xfId="8" applyFont="1" applyAlignment="1">
      <alignment horizontal="right"/>
    </xf>
    <xf numFmtId="3" fontId="8" fillId="0" borderId="4" xfId="5" applyNumberFormat="1" applyAlignment="1"/>
    <xf numFmtId="3" fontId="9" fillId="0" borderId="2" xfId="2" applyNumberFormat="1" applyAlignment="1">
      <alignment horizontal="right" wrapText="1"/>
    </xf>
    <xf numFmtId="49" fontId="9" fillId="0" borderId="12" xfId="8" applyNumberFormat="1" applyFill="1" applyBorder="1"/>
    <xf numFmtId="0" fontId="9" fillId="0" borderId="12" xfId="8" applyFill="1" applyBorder="1" applyProtection="1">
      <protection locked="0"/>
    </xf>
    <xf numFmtId="0" fontId="9" fillId="0" borderId="12" xfId="8" applyFill="1" applyBorder="1"/>
    <xf numFmtId="49" fontId="9" fillId="0" borderId="2" xfId="2" applyNumberFormat="1" applyProtection="1">
      <alignment wrapText="1"/>
    </xf>
    <xf numFmtId="49" fontId="9" fillId="6" borderId="2" xfId="2" applyNumberFormat="1" applyFill="1" applyProtection="1">
      <alignment wrapText="1"/>
    </xf>
    <xf numFmtId="0" fontId="26" fillId="0" borderId="0" xfId="0" applyFont="1"/>
    <xf numFmtId="0" fontId="10" fillId="0" borderId="0" xfId="9" applyAlignment="1" applyProtection="1"/>
    <xf numFmtId="0" fontId="7" fillId="0" borderId="13" xfId="0" applyFont="1" applyBorder="1" applyAlignment="1">
      <alignment horizontal="center" vertical="center" wrapText="1"/>
    </xf>
    <xf numFmtId="0" fontId="27" fillId="0" borderId="0" xfId="0" applyFont="1"/>
    <xf numFmtId="3" fontId="27" fillId="0" borderId="0" xfId="0" applyNumberFormat="1" applyFont="1"/>
    <xf numFmtId="3" fontId="28" fillId="0" borderId="0" xfId="0" applyNumberFormat="1" applyFont="1"/>
    <xf numFmtId="0" fontId="30" fillId="0" borderId="13" xfId="0" applyFont="1" applyBorder="1" applyAlignment="1">
      <alignment horizontal="center" vertical="center" wrapText="1"/>
    </xf>
    <xf numFmtId="4" fontId="27" fillId="0" borderId="0" xfId="0" applyNumberFormat="1" applyFont="1"/>
    <xf numFmtId="0" fontId="28" fillId="0" borderId="0" xfId="0" applyFont="1"/>
    <xf numFmtId="4" fontId="28" fillId="0" borderId="0" xfId="0" applyNumberFormat="1" applyFont="1"/>
    <xf numFmtId="0" fontId="31" fillId="0" borderId="0" xfId="0" applyFont="1"/>
    <xf numFmtId="0" fontId="0" fillId="0" borderId="8" xfId="2" applyFont="1" applyBorder="1">
      <alignment wrapText="1"/>
    </xf>
    <xf numFmtId="0" fontId="7" fillId="0" borderId="0" xfId="2" applyFont="1" applyBorder="1">
      <alignment wrapText="1"/>
    </xf>
    <xf numFmtId="0" fontId="0" fillId="0" borderId="0" xfId="0" applyFill="1" applyBorder="1"/>
    <xf numFmtId="0" fontId="32" fillId="0" borderId="0" xfId="0" applyFont="1"/>
    <xf numFmtId="0" fontId="33" fillId="0" borderId="0" xfId="0" applyFont="1"/>
    <xf numFmtId="0" fontId="33" fillId="0" borderId="0" xfId="0" applyFont="1" applyFill="1"/>
    <xf numFmtId="49" fontId="8" fillId="0" borderId="4" xfId="5" applyNumberFormat="1" applyAlignment="1" applyProtection="1"/>
    <xf numFmtId="3" fontId="9" fillId="6" borderId="2" xfId="2" applyNumberFormat="1" applyFill="1" applyAlignment="1">
      <alignment horizontal="right" wrapText="1"/>
    </xf>
    <xf numFmtId="0" fontId="35" fillId="0" borderId="0" xfId="0" applyFont="1"/>
    <xf numFmtId="10" fontId="0" fillId="0" borderId="0" xfId="0" applyNumberFormat="1"/>
    <xf numFmtId="0" fontId="10" fillId="0" borderId="0" xfId="9" quotePrefix="1" applyAlignment="1" applyProtection="1">
      <alignment horizontal="left"/>
    </xf>
    <xf numFmtId="174" fontId="0" fillId="0" borderId="0" xfId="0" applyNumberFormat="1"/>
    <xf numFmtId="0" fontId="40" fillId="0" borderId="0" xfId="0" applyFont="1" applyAlignment="1">
      <alignment horizontal="left"/>
    </xf>
    <xf numFmtId="0" fontId="41" fillId="0" borderId="0" xfId="0" applyFont="1"/>
    <xf numFmtId="0" fontId="42" fillId="7" borderId="0" xfId="0" quotePrefix="1" applyFont="1" applyFill="1" applyAlignment="1">
      <alignment horizontal="left"/>
    </xf>
    <xf numFmtId="0" fontId="42" fillId="7" borderId="0" xfId="0" applyFont="1" applyFill="1"/>
    <xf numFmtId="0" fontId="42" fillId="7" borderId="0" xfId="0" applyFont="1" applyFill="1" applyAlignment="1">
      <alignment horizontal="center"/>
    </xf>
    <xf numFmtId="0" fontId="43" fillId="8" borderId="0" xfId="9" quotePrefix="1" applyFont="1" applyFill="1" applyAlignment="1" applyProtection="1">
      <alignment horizontal="left"/>
    </xf>
    <xf numFmtId="0" fontId="41" fillId="8" borderId="0" xfId="0" applyFont="1" applyFill="1" applyAlignment="1">
      <alignment horizontal="left"/>
    </xf>
    <xf numFmtId="0" fontId="41" fillId="8" borderId="0" xfId="0" applyFont="1" applyFill="1" applyAlignment="1">
      <alignment horizontal="center"/>
    </xf>
    <xf numFmtId="0" fontId="44" fillId="0" borderId="0" xfId="0" applyFont="1"/>
    <xf numFmtId="0" fontId="36" fillId="0" borderId="0" xfId="0" applyFont="1"/>
    <xf numFmtId="0" fontId="45" fillId="0" borderId="0" xfId="0" applyFont="1"/>
    <xf numFmtId="0" fontId="35" fillId="0" borderId="0" xfId="0" applyFont="1" applyFill="1"/>
    <xf numFmtId="10" fontId="0" fillId="0" borderId="0" xfId="0" applyNumberFormat="1" applyFill="1"/>
    <xf numFmtId="0" fontId="40" fillId="0" borderId="0" xfId="0" applyFont="1" applyFill="1" applyAlignment="1">
      <alignment horizontal="left"/>
    </xf>
    <xf numFmtId="0" fontId="41" fillId="0" borderId="0" xfId="0" applyFont="1" applyFill="1"/>
    <xf numFmtId="0" fontId="41" fillId="0" borderId="0" xfId="0" applyFont="1" applyFill="1" applyAlignment="1">
      <alignment horizontal="left"/>
    </xf>
    <xf numFmtId="0" fontId="42" fillId="0" borderId="0" xfId="0" applyFont="1" applyFill="1"/>
    <xf numFmtId="0" fontId="45" fillId="0" borderId="0" xfId="0" applyFont="1" applyFill="1"/>
    <xf numFmtId="0" fontId="10" fillId="0" borderId="14" xfId="9" quotePrefix="1" applyBorder="1" applyAlignment="1" applyProtection="1">
      <alignment horizontal="left"/>
    </xf>
    <xf numFmtId="0" fontId="37" fillId="0" borderId="15" xfId="0" applyFont="1" applyBorder="1"/>
    <xf numFmtId="0" fontId="0" fillId="0" borderId="15" xfId="0" applyBorder="1"/>
    <xf numFmtId="0" fontId="38" fillId="0" borderId="16" xfId="0" applyFont="1" applyBorder="1" applyAlignment="1">
      <alignment horizontal="center" wrapText="1"/>
    </xf>
    <xf numFmtId="0" fontId="38" fillId="0" borderId="0" xfId="0" applyFont="1" applyBorder="1" applyAlignment="1">
      <alignment horizontal="center" wrapText="1"/>
    </xf>
    <xf numFmtId="0" fontId="0" fillId="0" borderId="0" xfId="0" applyBorder="1"/>
    <xf numFmtId="0" fontId="39" fillId="0" borderId="16" xfId="0" applyFont="1" applyBorder="1" applyAlignment="1">
      <alignment horizontal="center" wrapText="1"/>
    </xf>
    <xf numFmtId="0" fontId="39" fillId="0" borderId="0" xfId="0" applyFont="1" applyBorder="1" applyAlignment="1">
      <alignment horizontal="center" wrapText="1"/>
    </xf>
    <xf numFmtId="174" fontId="0" fillId="0" borderId="16" xfId="0" applyNumberFormat="1" applyBorder="1"/>
    <xf numFmtId="174" fontId="0" fillId="0" borderId="17" xfId="0" applyNumberFormat="1" applyBorder="1"/>
    <xf numFmtId="0" fontId="0" fillId="0" borderId="18" xfId="0" applyBorder="1"/>
    <xf numFmtId="0" fontId="0" fillId="0" borderId="20" xfId="0" applyBorder="1"/>
    <xf numFmtId="0" fontId="0" fillId="0" borderId="21" xfId="0" applyBorder="1"/>
    <xf numFmtId="0" fontId="0" fillId="6" borderId="19" xfId="0" applyFill="1" applyBorder="1"/>
    <xf numFmtId="0" fontId="0" fillId="6" borderId="20" xfId="0" applyFill="1" applyBorder="1"/>
    <xf numFmtId="0" fontId="7" fillId="6" borderId="20" xfId="0" applyFont="1" applyFill="1" applyBorder="1"/>
    <xf numFmtId="0" fontId="10" fillId="0" borderId="0" xfId="9" applyFill="1" applyAlignment="1" applyProtection="1"/>
    <xf numFmtId="0" fontId="13" fillId="0" borderId="0" xfId="9" applyFont="1" applyFill="1" applyAlignment="1" applyProtection="1"/>
    <xf numFmtId="0" fontId="0" fillId="0" borderId="0" xfId="0" applyFill="1" applyAlignment="1">
      <alignment wrapText="1"/>
    </xf>
    <xf numFmtId="0" fontId="46" fillId="0" borderId="0" xfId="0" applyFont="1" applyAlignment="1">
      <alignment horizontal="left"/>
    </xf>
    <xf numFmtId="0" fontId="47" fillId="0" borderId="0" xfId="0" quotePrefix="1" applyFont="1" applyAlignment="1">
      <alignment horizontal="left"/>
    </xf>
    <xf numFmtId="0" fontId="46" fillId="2" borderId="0" xfId="0" applyFont="1" applyFill="1" applyAlignment="1">
      <alignment horizontal="left"/>
    </xf>
    <xf numFmtId="0" fontId="41" fillId="2" borderId="0" xfId="0" applyFont="1" applyFill="1"/>
    <xf numFmtId="0" fontId="6" fillId="2" borderId="0" xfId="0" applyFont="1" applyFill="1"/>
    <xf numFmtId="0" fontId="0" fillId="2" borderId="0" xfId="0" applyFont="1" applyFill="1"/>
    <xf numFmtId="10" fontId="0" fillId="2" borderId="0" xfId="0" applyNumberFormat="1" applyFont="1" applyFill="1"/>
    <xf numFmtId="0" fontId="48" fillId="2" borderId="0" xfId="0" applyFont="1" applyFill="1"/>
    <xf numFmtId="0" fontId="0" fillId="6" borderId="20" xfId="0" applyFont="1" applyFill="1" applyBorder="1"/>
    <xf numFmtId="49" fontId="9" fillId="6" borderId="2" xfId="2" applyNumberFormat="1" applyFill="1" applyAlignment="1" applyProtection="1">
      <alignment horizontal="left" wrapText="1"/>
    </xf>
    <xf numFmtId="49" fontId="9" fillId="0" borderId="2" xfId="2" applyNumberFormat="1" applyFill="1" applyAlignment="1" applyProtection="1">
      <alignment horizontal="left" wrapText="1"/>
    </xf>
    <xf numFmtId="0" fontId="7" fillId="6" borderId="19" xfId="0" applyFont="1" applyFill="1" applyBorder="1" applyAlignment="1">
      <alignment horizontal="right"/>
    </xf>
    <xf numFmtId="0" fontId="7" fillId="0" borderId="14" xfId="0" applyFont="1" applyBorder="1" applyAlignment="1">
      <alignment horizontal="right"/>
    </xf>
    <xf numFmtId="0" fontId="7" fillId="0" borderId="15" xfId="0" applyFont="1" applyBorder="1" applyAlignment="1">
      <alignment horizontal="right"/>
    </xf>
    <xf numFmtId="0" fontId="0" fillId="0" borderId="16" xfId="0" applyBorder="1"/>
    <xf numFmtId="0" fontId="0" fillId="0" borderId="17" xfId="0" applyBorder="1"/>
    <xf numFmtId="0" fontId="49" fillId="0" borderId="0" xfId="8" quotePrefix="1" applyFont="1"/>
    <xf numFmtId="3" fontId="9" fillId="0" borderId="2" xfId="2" applyNumberFormat="1" applyFill="1" applyAlignment="1">
      <alignment horizontal="right" wrapText="1"/>
    </xf>
    <xf numFmtId="164" fontId="0" fillId="0" borderId="0" xfId="2" applyNumberFormat="1" applyFont="1" applyFill="1" applyBorder="1" applyAlignment="1">
      <alignment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49" fontId="9" fillId="9" borderId="2" xfId="2" applyNumberFormat="1" applyFill="1" applyAlignment="1" applyProtection="1">
      <alignment horizontal="left" wrapText="1"/>
    </xf>
    <xf numFmtId="3" fontId="9" fillId="9" borderId="2" xfId="2" applyNumberFormat="1" applyFill="1" applyAlignment="1">
      <alignment horizontal="right" wrapText="1"/>
    </xf>
    <xf numFmtId="0" fontId="0" fillId="0" borderId="22" xfId="0" applyFont="1" applyBorder="1"/>
    <xf numFmtId="0" fontId="0" fillId="0" borderId="23" xfId="0" applyFont="1" applyBorder="1"/>
    <xf numFmtId="0" fontId="0" fillId="0" borderId="24" xfId="0" applyFont="1" applyBorder="1"/>
    <xf numFmtId="0" fontId="0" fillId="0" borderId="25" xfId="0" applyFont="1" applyBorder="1"/>
    <xf numFmtId="0" fontId="0" fillId="0" borderId="0" xfId="0" applyFont="1" applyBorder="1"/>
    <xf numFmtId="0" fontId="0" fillId="0" borderId="26" xfId="0" applyFont="1" applyBorder="1"/>
    <xf numFmtId="49" fontId="9" fillId="9" borderId="2" xfId="2" applyNumberFormat="1" applyFill="1" applyProtection="1">
      <alignment wrapText="1"/>
    </xf>
    <xf numFmtId="49" fontId="51" fillId="0" borderId="2" xfId="2" applyNumberFormat="1" applyFont="1" applyFill="1" applyProtection="1">
      <alignment wrapText="1"/>
    </xf>
    <xf numFmtId="3" fontId="51" fillId="0" borderId="2" xfId="2" applyNumberFormat="1" applyFont="1" applyFill="1" applyAlignment="1">
      <alignment horizontal="right" wrapText="1"/>
    </xf>
    <xf numFmtId="49" fontId="51" fillId="0" borderId="2" xfId="2" applyNumberFormat="1" applyFont="1" applyProtection="1">
      <alignment wrapText="1"/>
    </xf>
    <xf numFmtId="3" fontId="51" fillId="0" borderId="2" xfId="2" applyNumberFormat="1" applyFont="1" applyAlignment="1">
      <alignment horizontal="right" wrapText="1"/>
    </xf>
    <xf numFmtId="0" fontId="52" fillId="0" borderId="0" xfId="9" applyFont="1" applyAlignment="1" applyProtection="1"/>
    <xf numFmtId="49" fontId="51" fillId="0" borderId="2" xfId="2" applyNumberFormat="1" applyFont="1">
      <alignment wrapText="1"/>
    </xf>
    <xf numFmtId="0" fontId="27" fillId="6" borderId="0" xfId="0" applyFont="1" applyFill="1"/>
    <xf numFmtId="4" fontId="28" fillId="6" borderId="0" xfId="0" applyNumberFormat="1" applyFont="1" applyFill="1"/>
    <xf numFmtId="0" fontId="28" fillId="6" borderId="0" xfId="0" applyFont="1" applyFill="1"/>
    <xf numFmtId="4" fontId="0" fillId="6" borderId="0" xfId="0" applyNumberFormat="1" applyFill="1"/>
    <xf numFmtId="0" fontId="0" fillId="6" borderId="0" xfId="0" applyFill="1"/>
    <xf numFmtId="0" fontId="0" fillId="0" borderId="0" xfId="0" quotePrefix="1"/>
    <xf numFmtId="0" fontId="49" fillId="0" borderId="0" xfId="0" quotePrefix="1" applyFont="1"/>
    <xf numFmtId="0" fontId="8" fillId="0" borderId="0" xfId="8" applyFont="1" applyBorder="1" applyAlignment="1" applyProtection="1">
      <alignment horizontal="right"/>
    </xf>
    <xf numFmtId="4" fontId="56" fillId="0" borderId="0" xfId="0" applyNumberFormat="1" applyFont="1"/>
    <xf numFmtId="0" fontId="50" fillId="0" borderId="0" xfId="0" applyFont="1"/>
    <xf numFmtId="0" fontId="56" fillId="0" borderId="0" xfId="0" applyFont="1"/>
    <xf numFmtId="0" fontId="0" fillId="0" borderId="30" xfId="0" applyFont="1" applyBorder="1"/>
    <xf numFmtId="0" fontId="0" fillId="0" borderId="31" xfId="0" applyFont="1" applyBorder="1"/>
    <xf numFmtId="0" fontId="0" fillId="0" borderId="31" xfId="0" applyBorder="1"/>
    <xf numFmtId="0" fontId="0" fillId="0" borderId="33" xfId="0" applyFont="1" applyBorder="1"/>
    <xf numFmtId="0" fontId="0" fillId="0" borderId="35" xfId="0" applyFont="1" applyBorder="1"/>
    <xf numFmtId="0" fontId="0" fillId="0" borderId="36" xfId="0" applyFont="1" applyBorder="1"/>
    <xf numFmtId="0" fontId="0" fillId="0" borderId="36" xfId="0" applyBorder="1"/>
    <xf numFmtId="0" fontId="0" fillId="0" borderId="30" xfId="0" applyBorder="1"/>
    <xf numFmtId="0" fontId="0" fillId="0" borderId="33" xfId="0" applyBorder="1"/>
    <xf numFmtId="0" fontId="0" fillId="0" borderId="35" xfId="0" applyBorder="1"/>
    <xf numFmtId="0" fontId="0" fillId="6" borderId="38" xfId="0" applyFill="1" applyBorder="1"/>
    <xf numFmtId="0" fontId="0" fillId="6" borderId="39" xfId="0" applyFill="1" applyBorder="1"/>
    <xf numFmtId="0" fontId="0" fillId="6" borderId="40" xfId="0" applyFill="1" applyBorder="1"/>
    <xf numFmtId="4" fontId="27" fillId="0" borderId="0" xfId="0" quotePrefix="1" applyNumberFormat="1" applyFont="1"/>
    <xf numFmtId="49" fontId="9" fillId="0" borderId="2" xfId="2" applyNumberFormat="1" applyAlignment="1" applyProtection="1">
      <alignment horizontal="left" wrapText="1"/>
    </xf>
    <xf numFmtId="49" fontId="9" fillId="0" borderId="2" xfId="2" applyNumberFormat="1" applyAlignment="1">
      <alignment horizontal="left" wrapText="1"/>
    </xf>
    <xf numFmtId="3" fontId="9" fillId="0" borderId="2" xfId="2" applyNumberFormat="1">
      <alignment wrapText="1"/>
    </xf>
    <xf numFmtId="3" fontId="0" fillId="0" borderId="0" xfId="0" applyNumberFormat="1"/>
    <xf numFmtId="0" fontId="9" fillId="0" borderId="2" xfId="8" applyBorder="1" applyAlignment="1">
      <alignment horizontal="right" wrapText="1"/>
    </xf>
    <xf numFmtId="0" fontId="8" fillId="0" borderId="1" xfId="1" applyAlignment="1">
      <alignment horizontal="right" wrapText="1"/>
    </xf>
    <xf numFmtId="49" fontId="9" fillId="0" borderId="0" xfId="2" applyNumberFormat="1" applyFill="1" applyBorder="1" applyAlignment="1" applyProtection="1">
      <alignment horizontal="left" wrapText="1"/>
    </xf>
    <xf numFmtId="3" fontId="9" fillId="0" borderId="0" xfId="2" applyNumberFormat="1" applyFill="1" applyBorder="1" applyAlignment="1">
      <alignment horizontal="right" wrapText="1"/>
    </xf>
    <xf numFmtId="49" fontId="49" fillId="0" borderId="0" xfId="8" applyNumberFormat="1" applyFont="1" applyAlignment="1" applyProtection="1">
      <alignment vertical="center" wrapText="1"/>
    </xf>
    <xf numFmtId="0" fontId="49" fillId="0" borderId="0" xfId="8" applyFont="1" applyAlignment="1">
      <alignment vertical="center" wrapText="1"/>
    </xf>
    <xf numFmtId="49" fontId="15" fillId="0" borderId="0" xfId="8" applyNumberFormat="1" applyFont="1" applyAlignment="1" applyProtection="1">
      <alignment vertical="center" wrapText="1"/>
    </xf>
    <xf numFmtId="0" fontId="0" fillId="0" borderId="0" xfId="0" applyAlignment="1">
      <alignment vertical="center" wrapText="1"/>
    </xf>
    <xf numFmtId="175" fontId="49" fillId="0" borderId="0" xfId="8" applyNumberFormat="1" applyFont="1" applyBorder="1" applyAlignment="1" applyProtection="1">
      <alignment wrapText="1"/>
    </xf>
    <xf numFmtId="49" fontId="49" fillId="0" borderId="0" xfId="8" applyNumberFormat="1" applyFont="1" applyBorder="1" applyAlignment="1" applyProtection="1">
      <alignment wrapText="1"/>
    </xf>
    <xf numFmtId="2" fontId="49" fillId="0" borderId="36" xfId="8" applyNumberFormat="1" applyFont="1" applyBorder="1" applyAlignment="1" applyProtection="1">
      <alignment wrapText="1"/>
    </xf>
    <xf numFmtId="49" fontId="9" fillId="0" borderId="0" xfId="8" applyNumberFormat="1" applyFont="1" applyAlignment="1" applyProtection="1"/>
    <xf numFmtId="0" fontId="54" fillId="2" borderId="31" xfId="8" applyFont="1" applyFill="1" applyBorder="1"/>
    <xf numFmtId="0" fontId="15" fillId="0" borderId="0" xfId="8" applyFont="1" applyAlignment="1" applyProtection="1">
      <alignment horizontal="left"/>
    </xf>
    <xf numFmtId="0" fontId="59" fillId="0" borderId="2" xfId="8" applyFont="1" applyBorder="1" applyAlignment="1">
      <alignment horizontal="right" wrapText="1"/>
    </xf>
    <xf numFmtId="49" fontId="49" fillId="0" borderId="0" xfId="8" applyNumberFormat="1" applyFont="1" applyBorder="1" applyAlignment="1" applyProtection="1">
      <alignment horizontal="left" wrapText="1"/>
    </xf>
    <xf numFmtId="3" fontId="9" fillId="0" borderId="0" xfId="0" applyNumberFormat="1" applyFont="1"/>
    <xf numFmtId="0" fontId="9" fillId="0" borderId="2" xfId="8" applyFont="1" applyBorder="1" applyAlignment="1">
      <alignment horizontal="right" wrapText="1"/>
    </xf>
    <xf numFmtId="49" fontId="49" fillId="2" borderId="0" xfId="8" applyNumberFormat="1" applyFont="1" applyFill="1" applyAlignment="1" applyProtection="1">
      <alignment vertical="center" wrapText="1"/>
    </xf>
    <xf numFmtId="49" fontId="49" fillId="2" borderId="31" xfId="8" applyNumberFormat="1" applyFont="1" applyFill="1" applyBorder="1" applyAlignment="1" applyProtection="1">
      <alignment vertical="center" wrapText="1"/>
    </xf>
    <xf numFmtId="49" fontId="49" fillId="2" borderId="32" xfId="8" applyNumberFormat="1" applyFont="1" applyFill="1" applyBorder="1" applyAlignment="1" applyProtection="1">
      <alignment vertical="center" wrapText="1"/>
    </xf>
    <xf numFmtId="49" fontId="49" fillId="0" borderId="0" xfId="8" applyNumberFormat="1" applyFont="1" applyBorder="1" applyAlignment="1" applyProtection="1">
      <alignment vertical="center" wrapText="1"/>
    </xf>
    <xf numFmtId="49" fontId="49" fillId="0" borderId="34" xfId="8" applyNumberFormat="1" applyFont="1" applyBorder="1" applyAlignment="1" applyProtection="1">
      <alignment vertical="center" wrapText="1"/>
    </xf>
    <xf numFmtId="2" fontId="49" fillId="0" borderId="36" xfId="8" applyNumberFormat="1" applyFont="1" applyBorder="1" applyAlignment="1" applyProtection="1">
      <alignment vertical="center" wrapText="1"/>
    </xf>
    <xf numFmtId="2" fontId="49" fillId="0" borderId="37" xfId="8" applyNumberFormat="1" applyFont="1" applyBorder="1" applyAlignment="1" applyProtection="1">
      <alignment vertical="center" wrapText="1"/>
    </xf>
    <xf numFmtId="49" fontId="60" fillId="2" borderId="30" xfId="8" applyNumberFormat="1" applyFont="1" applyFill="1" applyBorder="1" applyAlignment="1" applyProtection="1">
      <alignment vertical="center"/>
    </xf>
    <xf numFmtId="49" fontId="49" fillId="0" borderId="33" xfId="8" applyNumberFormat="1" applyFont="1" applyBorder="1" applyAlignment="1" applyProtection="1">
      <alignment vertical="center" wrapText="1"/>
    </xf>
    <xf numFmtId="49" fontId="49" fillId="0" borderId="35" xfId="8" applyNumberFormat="1" applyFont="1" applyBorder="1" applyAlignment="1" applyProtection="1">
      <alignment vertical="center" wrapText="1"/>
    </xf>
    <xf numFmtId="0" fontId="33" fillId="0" borderId="0" xfId="0" applyFont="1" applyBorder="1"/>
    <xf numFmtId="0" fontId="0" fillId="2" borderId="31" xfId="0" applyFill="1" applyBorder="1"/>
    <xf numFmtId="49" fontId="49" fillId="0" borderId="0" xfId="8" applyNumberFormat="1" applyFont="1" applyFill="1" applyBorder="1" applyAlignment="1" applyProtection="1">
      <alignment wrapText="1"/>
    </xf>
    <xf numFmtId="0" fontId="31" fillId="0" borderId="0" xfId="0" applyFont="1" applyAlignment="1">
      <alignment vertical="center" wrapText="1"/>
    </xf>
    <xf numFmtId="2" fontId="0" fillId="0" borderId="0" xfId="0" applyNumberFormat="1" applyFont="1" applyBorder="1"/>
    <xf numFmtId="0" fontId="25" fillId="0" borderId="0" xfId="8" applyFont="1" applyAlignment="1" applyProtection="1">
      <alignment horizontal="left"/>
    </xf>
    <xf numFmtId="0" fontId="25" fillId="0" borderId="0" xfId="0" applyFont="1"/>
    <xf numFmtId="0" fontId="9" fillId="6" borderId="2" xfId="8" applyFill="1" applyBorder="1" applyAlignment="1">
      <alignment horizontal="right" wrapText="1"/>
    </xf>
    <xf numFmtId="3" fontId="0" fillId="6" borderId="0" xfId="0" applyNumberFormat="1" applyFill="1"/>
    <xf numFmtId="0" fontId="9" fillId="9" borderId="2" xfId="8" applyFill="1" applyBorder="1" applyAlignment="1">
      <alignment horizontal="right" wrapText="1"/>
    </xf>
    <xf numFmtId="0" fontId="0" fillId="9" borderId="0" xfId="0" applyFill="1"/>
    <xf numFmtId="3" fontId="0" fillId="9" borderId="0" xfId="0" applyNumberFormat="1" applyFill="1"/>
    <xf numFmtId="0" fontId="61" fillId="0" borderId="0" xfId="0" applyFont="1"/>
    <xf numFmtId="0" fontId="62" fillId="0" borderId="0" xfId="0" applyFont="1"/>
    <xf numFmtId="49" fontId="15" fillId="0" borderId="2" xfId="2" applyNumberFormat="1" applyFont="1" applyAlignment="1" applyProtection="1">
      <alignment horizontal="left" wrapText="1"/>
    </xf>
    <xf numFmtId="3" fontId="49" fillId="0" borderId="0" xfId="8" applyNumberFormat="1" applyFont="1" applyAlignment="1">
      <alignment vertical="center" wrapText="1"/>
    </xf>
    <xf numFmtId="3" fontId="9" fillId="10" borderId="2" xfId="2" applyNumberFormat="1" applyFill="1" applyAlignment="1">
      <alignment horizontal="right" wrapText="1"/>
    </xf>
    <xf numFmtId="0" fontId="49" fillId="2" borderId="0" xfId="8" applyFont="1" applyFill="1" applyAlignment="1">
      <alignment vertical="center" wrapText="1"/>
    </xf>
    <xf numFmtId="3" fontId="49" fillId="2" borderId="0" xfId="8" applyNumberFormat="1" applyFont="1" applyFill="1" applyAlignment="1">
      <alignment vertical="center" wrapText="1"/>
    </xf>
    <xf numFmtId="0" fontId="0" fillId="2" borderId="0" xfId="0" applyFill="1" applyAlignment="1">
      <alignment vertical="center" wrapText="1"/>
    </xf>
    <xf numFmtId="3" fontId="0" fillId="2" borderId="0" xfId="0" applyNumberFormat="1" applyFill="1"/>
    <xf numFmtId="0" fontId="65" fillId="0" borderId="0" xfId="0" applyFont="1"/>
    <xf numFmtId="0" fontId="9" fillId="0" borderId="2" xfId="8" applyFill="1" applyBorder="1" applyAlignment="1">
      <alignment horizontal="right" wrapText="1"/>
    </xf>
    <xf numFmtId="3" fontId="0" fillId="0" borderId="0" xfId="0" applyNumberFormat="1" applyFill="1"/>
    <xf numFmtId="0" fontId="33" fillId="6" borderId="0" xfId="0" applyFont="1" applyFill="1"/>
    <xf numFmtId="0" fontId="33" fillId="9" borderId="0" xfId="0" applyFont="1" applyFill="1"/>
    <xf numFmtId="49" fontId="53" fillId="0" borderId="0" xfId="2" applyNumberFormat="1" applyFont="1" applyFill="1" applyBorder="1" applyAlignment="1" applyProtection="1">
      <alignment horizontal="left" wrapText="1"/>
    </xf>
    <xf numFmtId="0" fontId="8" fillId="0" borderId="0" xfId="8" applyFont="1" applyBorder="1" applyAlignment="1">
      <alignment horizontal="right"/>
    </xf>
    <xf numFmtId="2" fontId="49" fillId="0" borderId="0" xfId="8" applyNumberFormat="1" applyFont="1" applyAlignment="1" applyProtection="1">
      <alignment vertical="center" wrapText="1"/>
    </xf>
    <xf numFmtId="2" fontId="0" fillId="0" borderId="0" xfId="0" applyNumberFormat="1"/>
    <xf numFmtId="0" fontId="33" fillId="0" borderId="0" xfId="0" applyFont="1" applyFill="1" applyBorder="1"/>
    <xf numFmtId="0" fontId="60" fillId="2" borderId="31" xfId="8" applyFont="1" applyFill="1" applyBorder="1"/>
    <xf numFmtId="0" fontId="49" fillId="2" borderId="14" xfId="8" applyFont="1" applyFill="1" applyBorder="1"/>
    <xf numFmtId="0" fontId="54" fillId="2" borderId="15" xfId="8" applyFont="1" applyFill="1" applyBorder="1"/>
    <xf numFmtId="0" fontId="54" fillId="2" borderId="43" xfId="8" applyFont="1" applyFill="1" applyBorder="1"/>
    <xf numFmtId="175" fontId="49" fillId="0" borderId="16" xfId="8" applyNumberFormat="1" applyFont="1" applyBorder="1" applyAlignment="1" applyProtection="1">
      <alignment wrapText="1"/>
    </xf>
    <xf numFmtId="175" fontId="49" fillId="0" borderId="44" xfId="8" applyNumberFormat="1" applyFont="1" applyBorder="1" applyAlignment="1" applyProtection="1">
      <alignment wrapText="1"/>
    </xf>
    <xf numFmtId="49" fontId="49" fillId="0" borderId="16" xfId="8" applyNumberFormat="1" applyFont="1" applyBorder="1" applyAlignment="1" applyProtection="1">
      <alignment wrapText="1"/>
    </xf>
    <xf numFmtId="49" fontId="49" fillId="0" borderId="44" xfId="8" applyNumberFormat="1" applyFont="1" applyBorder="1" applyAlignment="1" applyProtection="1">
      <alignment wrapText="1"/>
    </xf>
    <xf numFmtId="2" fontId="0" fillId="0" borderId="17" xfId="0" applyNumberFormat="1" applyBorder="1"/>
    <xf numFmtId="0" fontId="0" fillId="0" borderId="45" xfId="0" applyBorder="1"/>
    <xf numFmtId="0" fontId="0" fillId="6" borderId="32" xfId="0" applyFill="1" applyBorder="1"/>
    <xf numFmtId="0" fontId="0" fillId="6" borderId="34" xfId="0" applyFill="1" applyBorder="1"/>
    <xf numFmtId="0" fontId="0" fillId="6" borderId="37" xfId="0" applyFill="1" applyBorder="1"/>
    <xf numFmtId="0" fontId="0" fillId="0" borderId="14" xfId="0" applyFont="1" applyBorder="1"/>
    <xf numFmtId="0" fontId="0" fillId="0" borderId="15" xfId="0" applyFont="1" applyBorder="1"/>
    <xf numFmtId="0" fontId="0" fillId="0" borderId="43" xfId="0" applyBorder="1"/>
    <xf numFmtId="0" fontId="0" fillId="0" borderId="16" xfId="0" applyFont="1" applyBorder="1"/>
    <xf numFmtId="0" fontId="0" fillId="0" borderId="44" xfId="0" applyBorder="1"/>
    <xf numFmtId="0" fontId="0" fillId="0" borderId="17" xfId="0" applyFont="1" applyBorder="1"/>
    <xf numFmtId="0" fontId="0" fillId="0" borderId="18" xfId="0" applyFont="1" applyBorder="1"/>
    <xf numFmtId="0" fontId="0" fillId="0" borderId="14" xfId="0" applyBorder="1"/>
    <xf numFmtId="0" fontId="33" fillId="6" borderId="32" xfId="0" applyFont="1" applyFill="1" applyBorder="1"/>
    <xf numFmtId="0" fontId="33" fillId="6" borderId="34" xfId="0" applyFont="1" applyFill="1" applyBorder="1"/>
    <xf numFmtId="0" fontId="33" fillId="6" borderId="37" xfId="0" applyFont="1" applyFill="1" applyBorder="1"/>
    <xf numFmtId="0" fontId="33" fillId="0" borderId="14" xfId="0" applyFont="1" applyBorder="1"/>
    <xf numFmtId="0" fontId="33" fillId="0" borderId="15" xfId="0" applyFont="1" applyBorder="1"/>
    <xf numFmtId="0" fontId="33" fillId="0" borderId="16" xfId="0" applyFont="1" applyBorder="1"/>
    <xf numFmtId="0" fontId="33" fillId="0" borderId="17" xfId="0" applyFont="1" applyBorder="1"/>
    <xf numFmtId="0" fontId="33" fillId="0" borderId="18" xfId="0" applyFont="1" applyBorder="1"/>
    <xf numFmtId="3" fontId="0" fillId="0" borderId="0" xfId="0" applyNumberFormat="1" applyAlignment="1">
      <alignment wrapText="1"/>
    </xf>
    <xf numFmtId="49" fontId="9" fillId="6" borderId="2" xfId="2" applyNumberFormat="1" applyFill="1" applyBorder="1" applyAlignment="1" applyProtection="1">
      <alignment horizontal="left" wrapText="1"/>
    </xf>
    <xf numFmtId="49" fontId="9" fillId="9" borderId="2" xfId="2" applyNumberFormat="1" applyFill="1" applyBorder="1" applyAlignment="1" applyProtection="1">
      <alignment horizontal="left" wrapText="1"/>
    </xf>
    <xf numFmtId="49" fontId="9" fillId="4" borderId="2" xfId="2" applyNumberFormat="1" applyFill="1" applyBorder="1" applyAlignment="1" applyProtection="1">
      <alignment horizontal="left" wrapText="1"/>
    </xf>
    <xf numFmtId="0" fontId="0" fillId="0" borderId="0" xfId="0" applyFill="1" applyAlignment="1">
      <alignment horizontal="right"/>
    </xf>
    <xf numFmtId="9" fontId="0" fillId="0" borderId="0" xfId="0" applyNumberFormat="1" applyFill="1"/>
    <xf numFmtId="0" fontId="8" fillId="0" borderId="0" xfId="8" applyFont="1" applyAlignment="1" applyProtection="1">
      <alignment horizontal="right" wrapText="1"/>
    </xf>
    <xf numFmtId="0" fontId="8" fillId="0" borderId="0" xfId="8" applyFont="1" applyAlignment="1" applyProtection="1">
      <alignment horizontal="center" vertical="center" wrapText="1"/>
    </xf>
    <xf numFmtId="0" fontId="0" fillId="2" borderId="0" xfId="0" quotePrefix="1" applyFill="1"/>
    <xf numFmtId="0" fontId="51" fillId="0" borderId="0" xfId="0" applyFont="1"/>
    <xf numFmtId="0" fontId="57" fillId="0" borderId="0" xfId="8" applyFont="1" applyAlignment="1">
      <alignment horizontal="right"/>
    </xf>
    <xf numFmtId="0" fontId="57" fillId="0" borderId="1" xfId="1" applyFont="1" applyAlignment="1">
      <alignment horizontal="right" wrapText="1"/>
    </xf>
    <xf numFmtId="0" fontId="51" fillId="0" borderId="2" xfId="8" applyFont="1" applyBorder="1" applyAlignment="1">
      <alignment horizontal="right" wrapText="1"/>
    </xf>
    <xf numFmtId="0" fontId="51" fillId="6" borderId="2" xfId="8" applyFont="1" applyFill="1" applyBorder="1" applyAlignment="1">
      <alignment horizontal="right" wrapText="1"/>
    </xf>
    <xf numFmtId="0" fontId="51" fillId="9" borderId="2" xfId="8" applyFont="1" applyFill="1" applyBorder="1" applyAlignment="1">
      <alignment horizontal="right" wrapText="1"/>
    </xf>
    <xf numFmtId="0" fontId="57" fillId="0" borderId="0" xfId="8" applyFont="1"/>
    <xf numFmtId="49" fontId="9" fillId="11" borderId="2" xfId="2" applyNumberFormat="1" applyFill="1" applyBorder="1" applyAlignment="1" applyProtection="1">
      <alignment horizontal="left" wrapText="1"/>
    </xf>
    <xf numFmtId="0" fontId="24" fillId="0" borderId="0" xfId="0" applyFont="1" applyFill="1"/>
    <xf numFmtId="49" fontId="9" fillId="0" borderId="42" xfId="2" applyNumberFormat="1" applyBorder="1" applyAlignment="1" applyProtection="1">
      <alignment wrapText="1"/>
    </xf>
    <xf numFmtId="0" fontId="57" fillId="0" borderId="0" xfId="8" applyFont="1" applyAlignment="1" applyProtection="1">
      <alignment horizontal="center"/>
    </xf>
    <xf numFmtId="0" fontId="57" fillId="0" borderId="4" xfId="5" applyFont="1" applyAlignment="1"/>
    <xf numFmtId="0" fontId="51" fillId="0" borderId="2" xfId="8" applyFont="1" applyBorder="1" applyAlignment="1">
      <alignment horizontal="left" wrapText="1"/>
    </xf>
    <xf numFmtId="3" fontId="24" fillId="0" borderId="0" xfId="0" applyNumberFormat="1" applyFont="1"/>
    <xf numFmtId="0" fontId="51" fillId="6" borderId="2" xfId="8" applyFont="1" applyFill="1" applyBorder="1" applyAlignment="1">
      <alignment horizontal="left" wrapText="1"/>
    </xf>
    <xf numFmtId="3" fontId="24" fillId="6" borderId="0" xfId="0" applyNumberFormat="1" applyFont="1" applyFill="1"/>
    <xf numFmtId="0" fontId="51" fillId="9" borderId="2" xfId="8" applyFont="1" applyFill="1" applyBorder="1" applyAlignment="1">
      <alignment horizontal="left" wrapText="1"/>
    </xf>
    <xf numFmtId="3" fontId="24" fillId="9" borderId="0" xfId="0" applyNumberFormat="1" applyFont="1" applyFill="1"/>
    <xf numFmtId="0" fontId="0" fillId="3" borderId="0" xfId="0" applyFill="1" applyBorder="1"/>
    <xf numFmtId="10" fontId="24" fillId="0" borderId="0" xfId="0" applyNumberFormat="1" applyFont="1"/>
    <xf numFmtId="3" fontId="9" fillId="3" borderId="2" xfId="2" applyNumberFormat="1" applyFill="1" applyAlignment="1">
      <alignment horizontal="right" wrapText="1"/>
    </xf>
    <xf numFmtId="2" fontId="0" fillId="0" borderId="0" xfId="0" applyNumberFormat="1" applyAlignment="1">
      <alignment horizontal="right"/>
    </xf>
    <xf numFmtId="0" fontId="4" fillId="2" borderId="0" xfId="0" applyFont="1" applyFill="1"/>
    <xf numFmtId="3" fontId="9" fillId="12" borderId="2" xfId="2" applyNumberFormat="1" applyFill="1" applyAlignment="1">
      <alignment horizontal="right" wrapText="1"/>
    </xf>
    <xf numFmtId="4" fontId="9" fillId="12" borderId="2" xfId="2" applyNumberFormat="1" applyFill="1" applyAlignment="1">
      <alignment horizontal="right" wrapText="1"/>
    </xf>
    <xf numFmtId="3" fontId="0" fillId="12" borderId="0" xfId="0" applyNumberFormat="1" applyFill="1"/>
    <xf numFmtId="0" fontId="51" fillId="0" borderId="2" xfId="8" applyFont="1" applyFill="1" applyBorder="1" applyAlignment="1">
      <alignment horizontal="left" wrapText="1"/>
    </xf>
    <xf numFmtId="0" fontId="51" fillId="0" borderId="2" xfId="8" applyFont="1" applyFill="1" applyBorder="1" applyAlignment="1">
      <alignment horizontal="right" wrapText="1"/>
    </xf>
    <xf numFmtId="3" fontId="24" fillId="0" borderId="0" xfId="0" applyNumberFormat="1" applyFont="1" applyFill="1"/>
    <xf numFmtId="0" fontId="9" fillId="0" borderId="15" xfId="0" applyFont="1" applyBorder="1"/>
    <xf numFmtId="0" fontId="8" fillId="0" borderId="15" xfId="8" applyFont="1" applyBorder="1"/>
    <xf numFmtId="0" fontId="57" fillId="0" borderId="0" xfId="8" applyFont="1" applyBorder="1" applyAlignment="1">
      <alignment horizontal="right"/>
    </xf>
    <xf numFmtId="0" fontId="57" fillId="0" borderId="0" xfId="8" applyFont="1" applyBorder="1" applyAlignment="1" applyProtection="1">
      <alignment horizontal="right"/>
    </xf>
    <xf numFmtId="0" fontId="8" fillId="0" borderId="44" xfId="8" applyFont="1" applyBorder="1" applyAlignment="1" applyProtection="1">
      <alignment horizontal="right"/>
    </xf>
    <xf numFmtId="49" fontId="9" fillId="4" borderId="46" xfId="2" applyNumberFormat="1" applyFill="1" applyBorder="1" applyAlignment="1" applyProtection="1">
      <alignment horizontal="left" wrapText="1"/>
    </xf>
    <xf numFmtId="0" fontId="24" fillId="0" borderId="0" xfId="0" applyFont="1" applyBorder="1"/>
    <xf numFmtId="49" fontId="9" fillId="9" borderId="46" xfId="2" applyNumberFormat="1" applyFill="1" applyBorder="1" applyAlignment="1" applyProtection="1">
      <alignment horizontal="left" wrapText="1"/>
    </xf>
    <xf numFmtId="0" fontId="24" fillId="0" borderId="0" xfId="0" applyFont="1" applyFill="1" applyBorder="1"/>
    <xf numFmtId="0" fontId="0" fillId="0" borderId="44" xfId="0" applyFill="1" applyBorder="1"/>
    <xf numFmtId="49" fontId="9" fillId="11" borderId="46" xfId="2" applyNumberFormat="1" applyFill="1" applyBorder="1" applyAlignment="1" applyProtection="1">
      <alignment horizontal="left" wrapText="1"/>
    </xf>
    <xf numFmtId="49" fontId="9" fillId="6" borderId="46" xfId="2" applyNumberFormat="1" applyFill="1" applyBorder="1" applyAlignment="1" applyProtection="1">
      <alignment horizontal="left" wrapText="1"/>
    </xf>
    <xf numFmtId="49" fontId="9" fillId="6" borderId="17" xfId="2" applyNumberFormat="1" applyFill="1" applyBorder="1" applyAlignment="1" applyProtection="1">
      <alignment horizontal="left" wrapText="1"/>
    </xf>
    <xf numFmtId="49" fontId="9" fillId="6" borderId="18" xfId="2" applyNumberFormat="1" applyFill="1" applyBorder="1" applyAlignment="1" applyProtection="1">
      <alignment horizontal="left" wrapText="1"/>
    </xf>
    <xf numFmtId="0" fontId="24" fillId="0" borderId="18" xfId="0" applyFont="1" applyBorder="1"/>
    <xf numFmtId="0" fontId="57" fillId="0" borderId="0" xfId="8" applyFont="1" applyFill="1" applyBorder="1" applyAlignment="1">
      <alignment horizontal="right"/>
    </xf>
    <xf numFmtId="0" fontId="57" fillId="0" borderId="0" xfId="8" applyFont="1" applyFill="1" applyBorder="1" applyAlignment="1" applyProtection="1">
      <alignment horizontal="right"/>
    </xf>
    <xf numFmtId="0" fontId="55" fillId="0" borderId="0" xfId="0" applyFont="1"/>
    <xf numFmtId="4" fontId="24" fillId="0" borderId="0" xfId="0" applyNumberFormat="1" applyFont="1"/>
    <xf numFmtId="0" fontId="66" fillId="2" borderId="0" xfId="0" applyFont="1" applyFill="1"/>
    <xf numFmtId="0" fontId="24" fillId="2" borderId="0" xfId="0" applyFont="1" applyFill="1"/>
    <xf numFmtId="3" fontId="0" fillId="0" borderId="0" xfId="0" applyNumberFormat="1" applyFont="1"/>
    <xf numFmtId="3" fontId="0" fillId="6" borderId="0" xfId="0" applyNumberFormat="1" applyFont="1" applyFill="1"/>
    <xf numFmtId="3" fontId="0" fillId="9" borderId="0" xfId="0" applyNumberFormat="1" applyFont="1" applyFill="1"/>
    <xf numFmtId="3" fontId="33" fillId="6" borderId="0" xfId="0" applyNumberFormat="1" applyFont="1" applyFill="1"/>
    <xf numFmtId="3" fontId="33" fillId="9" borderId="0" xfId="0" applyNumberFormat="1" applyFont="1" applyFill="1"/>
    <xf numFmtId="0" fontId="68" fillId="0" borderId="0" xfId="0" applyFont="1"/>
    <xf numFmtId="0" fontId="65" fillId="0" borderId="0" xfId="0" applyFont="1" applyFill="1"/>
    <xf numFmtId="0" fontId="68" fillId="0" borderId="0" xfId="0" applyFont="1" applyFill="1"/>
    <xf numFmtId="0" fontId="31" fillId="0" borderId="0" xfId="0" applyFont="1" applyAlignment="1">
      <alignment horizontal="left" vertical="center" wrapText="1"/>
    </xf>
    <xf numFmtId="0" fontId="66" fillId="0" borderId="0" xfId="0" applyFont="1"/>
    <xf numFmtId="0" fontId="24" fillId="0" borderId="0" xfId="0" applyFont="1" applyAlignment="1">
      <alignment horizontal="left"/>
    </xf>
    <xf numFmtId="0" fontId="69" fillId="0" borderId="0" xfId="9" applyFont="1" applyAlignment="1" applyProtection="1"/>
    <xf numFmtId="0" fontId="24" fillId="0" borderId="0" xfId="9" applyFont="1" applyAlignment="1" applyProtection="1"/>
    <xf numFmtId="0" fontId="24" fillId="0" borderId="0" xfId="0" applyFont="1" applyAlignment="1">
      <alignment wrapText="1"/>
    </xf>
    <xf numFmtId="0" fontId="3" fillId="0" borderId="0" xfId="0" applyFont="1"/>
    <xf numFmtId="0" fontId="0" fillId="0" borderId="0" xfId="0" applyAlignment="1">
      <alignment horizontal="left"/>
    </xf>
    <xf numFmtId="0" fontId="7" fillId="0" borderId="13" xfId="0" applyFont="1" applyBorder="1" applyAlignment="1">
      <alignment horizontal="left" vertical="center" wrapText="1"/>
    </xf>
    <xf numFmtId="3" fontId="27" fillId="0" borderId="0" xfId="0" applyNumberFormat="1" applyFont="1" applyAlignment="1">
      <alignment horizontal="left"/>
    </xf>
    <xf numFmtId="0" fontId="27" fillId="0" borderId="0" xfId="0" applyFont="1" applyAlignment="1">
      <alignment horizontal="left"/>
    </xf>
    <xf numFmtId="0" fontId="27" fillId="6" borderId="0" xfId="0" applyFont="1" applyFill="1" applyAlignment="1">
      <alignment horizontal="left"/>
    </xf>
    <xf numFmtId="0" fontId="5" fillId="0" borderId="0" xfId="0" applyFont="1" applyAlignment="1">
      <alignment horizontal="left"/>
    </xf>
    <xf numFmtId="0" fontId="31" fillId="0" borderId="0" xfId="0" applyFont="1" applyAlignment="1">
      <alignment horizontal="left" vertical="center"/>
    </xf>
    <xf numFmtId="0" fontId="10" fillId="0" borderId="0" xfId="9" applyAlignment="1" applyProtection="1">
      <alignment horizontal="left"/>
    </xf>
    <xf numFmtId="0" fontId="0" fillId="2" borderId="0" xfId="0" applyFont="1" applyFill="1" applyAlignment="1">
      <alignment horizontal="left"/>
    </xf>
    <xf numFmtId="2" fontId="0" fillId="0" borderId="0" xfId="0" applyNumberFormat="1" applyAlignment="1">
      <alignment horizontal="left"/>
    </xf>
    <xf numFmtId="0" fontId="65" fillId="0" borderId="0" xfId="0" applyFont="1" applyFill="1" applyAlignment="1">
      <alignment horizontal="left"/>
    </xf>
    <xf numFmtId="2" fontId="65" fillId="0" borderId="0" xfId="0" applyNumberFormat="1" applyFont="1" applyFill="1" applyAlignment="1">
      <alignment horizontal="right"/>
    </xf>
    <xf numFmtId="2" fontId="65" fillId="0" borderId="0" xfId="0" applyNumberFormat="1" applyFont="1" applyFill="1" applyAlignment="1">
      <alignment horizontal="left"/>
    </xf>
    <xf numFmtId="2" fontId="65" fillId="0" borderId="0" xfId="0" applyNumberFormat="1" applyFont="1" applyFill="1"/>
    <xf numFmtId="0" fontId="65" fillId="0" borderId="0" xfId="0" applyFont="1" applyAlignment="1">
      <alignment horizontal="left"/>
    </xf>
    <xf numFmtId="4" fontId="65" fillId="0" borderId="0" xfId="0" applyNumberFormat="1" applyFont="1" applyFill="1"/>
    <xf numFmtId="2" fontId="65" fillId="0" borderId="0" xfId="0" applyNumberFormat="1" applyFont="1"/>
    <xf numFmtId="0" fontId="32" fillId="0" borderId="0" xfId="0" applyFont="1" applyFill="1"/>
    <xf numFmtId="0" fontId="0" fillId="0" borderId="0" xfId="0" applyFill="1" applyAlignment="1">
      <alignment horizontal="left"/>
    </xf>
    <xf numFmtId="0" fontId="70" fillId="0" borderId="0" xfId="0" applyFont="1" applyFill="1"/>
    <xf numFmtId="3" fontId="32" fillId="0" borderId="0" xfId="0" applyNumberFormat="1" applyFont="1" applyFill="1"/>
    <xf numFmtId="0" fontId="0" fillId="2" borderId="15" xfId="0" applyFill="1" applyBorder="1"/>
    <xf numFmtId="0" fontId="7" fillId="2" borderId="14" xfId="0" applyFont="1" applyFill="1" applyBorder="1"/>
    <xf numFmtId="49" fontId="9" fillId="0" borderId="2" xfId="2" applyNumberFormat="1" applyFont="1" applyAlignment="1" applyProtection="1">
      <alignment horizontal="left" wrapText="1"/>
    </xf>
    <xf numFmtId="49" fontId="9" fillId="0" borderId="2" xfId="2" applyNumberFormat="1" applyFont="1" applyFill="1" applyAlignment="1" applyProtection="1">
      <alignment horizontal="left" wrapText="1"/>
    </xf>
    <xf numFmtId="49" fontId="9" fillId="6" borderId="2" xfId="2" applyNumberFormat="1" applyFont="1" applyFill="1" applyAlignment="1" applyProtection="1">
      <alignment horizontal="left" wrapText="1"/>
    </xf>
    <xf numFmtId="49" fontId="9" fillId="9" borderId="2" xfId="2" applyNumberFormat="1" applyFont="1" applyFill="1" applyAlignment="1" applyProtection="1">
      <alignment horizontal="left" wrapText="1"/>
    </xf>
    <xf numFmtId="49" fontId="9" fillId="0" borderId="2" xfId="2" applyNumberFormat="1" applyFont="1" applyAlignment="1">
      <alignment horizontal="left" wrapText="1"/>
    </xf>
    <xf numFmtId="0" fontId="0" fillId="6" borderId="0" xfId="0" applyFont="1" applyFill="1"/>
    <xf numFmtId="0" fontId="0" fillId="9" borderId="0" xfId="0" applyFont="1" applyFill="1"/>
    <xf numFmtId="0" fontId="0" fillId="0" borderId="15" xfId="0" applyFill="1" applyBorder="1"/>
    <xf numFmtId="0" fontId="49" fillId="0" borderId="0" xfId="9" applyFont="1" applyFill="1" applyAlignment="1" applyProtection="1"/>
    <xf numFmtId="2" fontId="24" fillId="0" borderId="0" xfId="0" applyNumberFormat="1" applyFont="1"/>
    <xf numFmtId="2" fontId="24" fillId="0" borderId="0" xfId="0" applyNumberFormat="1" applyFont="1" applyAlignment="1">
      <alignment horizontal="left"/>
    </xf>
    <xf numFmtId="0" fontId="8" fillId="0" borderId="0" xfId="8" applyFont="1" applyFill="1" applyBorder="1" applyAlignment="1">
      <alignment horizontal="right"/>
    </xf>
    <xf numFmtId="0" fontId="8" fillId="0" borderId="0" xfId="8" applyFont="1" applyFill="1" applyBorder="1" applyAlignment="1" applyProtection="1">
      <alignment horizontal="right"/>
    </xf>
    <xf numFmtId="0" fontId="9" fillId="0" borderId="15" xfId="0" applyFont="1" applyFill="1" applyBorder="1"/>
    <xf numFmtId="0" fontId="8" fillId="0" borderId="15" xfId="8" applyFont="1" applyFill="1" applyBorder="1"/>
    <xf numFmtId="0" fontId="0" fillId="0" borderId="43" xfId="0" applyFill="1" applyBorder="1"/>
    <xf numFmtId="0" fontId="8" fillId="0" borderId="44" xfId="8" applyFont="1" applyFill="1" applyBorder="1" applyAlignment="1" applyProtection="1">
      <alignment horizontal="right"/>
    </xf>
    <xf numFmtId="0" fontId="2" fillId="0" borderId="0" xfId="0" applyFont="1"/>
    <xf numFmtId="0" fontId="2" fillId="0" borderId="0" xfId="0" quotePrefix="1" applyFont="1"/>
    <xf numFmtId="0" fontId="0" fillId="0" borderId="0" xfId="0" applyFont="1" applyFill="1" applyBorder="1"/>
    <xf numFmtId="0" fontId="0" fillId="13" borderId="0" xfId="0" applyFill="1"/>
    <xf numFmtId="0" fontId="0" fillId="13" borderId="8" xfId="24" applyFont="1" applyFill="1" applyBorder="1" applyAlignment="1">
      <alignment wrapText="1"/>
    </xf>
    <xf numFmtId="0" fontId="71" fillId="0" borderId="0" xfId="0" applyFont="1" applyFill="1"/>
    <xf numFmtId="0" fontId="1" fillId="0" borderId="0" xfId="0" quotePrefix="1" applyFont="1"/>
    <xf numFmtId="0" fontId="0" fillId="14" borderId="0" xfId="0" applyFill="1"/>
    <xf numFmtId="0" fontId="0" fillId="0" borderId="0" xfId="0" quotePrefix="1" applyAlignment="1">
      <alignment horizontal="center" vertical="center" wrapText="1"/>
    </xf>
    <xf numFmtId="0" fontId="58" fillId="2" borderId="0" xfId="0" applyFont="1" applyFill="1" applyAlignment="1">
      <alignment horizontal="center" vertical="center"/>
    </xf>
    <xf numFmtId="0" fontId="19" fillId="0" borderId="11" xfId="25" applyFont="1" applyFill="1" applyBorder="1" applyAlignment="1">
      <alignment wrapText="1"/>
    </xf>
    <xf numFmtId="0" fontId="9" fillId="0" borderId="3" xfId="6">
      <alignment vertical="top" wrapText="1"/>
    </xf>
    <xf numFmtId="0" fontId="34" fillId="0" borderId="0" xfId="0" applyFont="1" applyAlignment="1">
      <alignment vertical="center" wrapText="1"/>
    </xf>
    <xf numFmtId="49" fontId="9" fillId="0" borderId="0" xfId="8" applyNumberFormat="1" applyAlignment="1" applyProtection="1">
      <alignment wrapText="1"/>
    </xf>
    <xf numFmtId="49" fontId="9" fillId="0" borderId="0" xfId="8" quotePrefix="1" applyNumberFormat="1" applyAlignment="1" applyProtection="1">
      <alignment wrapText="1"/>
    </xf>
    <xf numFmtId="49" fontId="9" fillId="0" borderId="0" xfId="8" applyNumberFormat="1" applyAlignment="1" applyProtection="1"/>
    <xf numFmtId="0" fontId="31" fillId="0" borderId="0" xfId="0" applyFont="1" applyAlignment="1">
      <alignment horizontal="left" wrapText="1"/>
    </xf>
    <xf numFmtId="0" fontId="31" fillId="0" borderId="0" xfId="0" applyFont="1" applyAlignment="1">
      <alignment horizontal="left" vertical="center" wrapText="1"/>
    </xf>
    <xf numFmtId="0" fontId="7" fillId="0" borderId="13" xfId="0" applyFont="1" applyBorder="1" applyAlignment="1">
      <alignment horizontal="center" vertical="center" wrapText="1"/>
    </xf>
    <xf numFmtId="0" fontId="0" fillId="0" borderId="0" xfId="0" applyAlignment="1">
      <alignment horizontal="center" vertical="center"/>
    </xf>
    <xf numFmtId="0" fontId="7" fillId="0" borderId="13" xfId="0" applyFont="1" applyBorder="1" applyAlignment="1">
      <alignment horizontal="left" vertical="center" wrapText="1"/>
    </xf>
    <xf numFmtId="0" fontId="29" fillId="0" borderId="13" xfId="0" applyFont="1" applyBorder="1" applyAlignment="1">
      <alignment horizontal="center" vertical="center"/>
    </xf>
    <xf numFmtId="0" fontId="0" fillId="0" borderId="0" xfId="0" applyAlignment="1">
      <alignment horizontal="center" wrapText="1"/>
    </xf>
    <xf numFmtId="0" fontId="8" fillId="0" borderId="0" xfId="8" applyFont="1" applyAlignment="1" applyProtection="1">
      <alignment horizontal="center" vertical="center" wrapText="1"/>
    </xf>
    <xf numFmtId="0" fontId="67" fillId="0" borderId="22" xfId="0" applyFont="1" applyBorder="1" applyAlignment="1">
      <alignment horizontal="center" vertical="center" wrapText="1"/>
    </xf>
    <xf numFmtId="0" fontId="67" fillId="0" borderId="23" xfId="0" applyFont="1" applyBorder="1" applyAlignment="1">
      <alignment horizontal="center" vertical="center" wrapText="1"/>
    </xf>
    <xf numFmtId="0" fontId="67" fillId="0" borderId="24" xfId="0" applyFont="1" applyBorder="1" applyAlignment="1">
      <alignment horizontal="center" vertical="center" wrapText="1"/>
    </xf>
    <xf numFmtId="0" fontId="67" fillId="0" borderId="25"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26"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8" xfId="0" applyFont="1" applyBorder="1" applyAlignment="1">
      <alignment horizontal="center" vertical="center" wrapText="1"/>
    </xf>
    <xf numFmtId="0" fontId="67" fillId="0" borderId="29" xfId="0" applyFont="1" applyBorder="1" applyAlignment="1">
      <alignment horizontal="center" vertical="center" wrapText="1"/>
    </xf>
    <xf numFmtId="0" fontId="9" fillId="0" borderId="41" xfId="0" applyFont="1" applyBorder="1" applyAlignment="1">
      <alignment horizontal="center" wrapText="1"/>
    </xf>
    <xf numFmtId="0" fontId="0" fillId="0" borderId="0" xfId="0" applyAlignment="1">
      <alignment horizontal="center" vertical="center" wrapText="1"/>
    </xf>
  </cellXfs>
  <cellStyles count="26">
    <cellStyle name="Body: normal cell" xfId="2"/>
    <cellStyle name="Body: normal cell 2" xfId="24"/>
    <cellStyle name="Followed Hyperlink" xfId="10" builtinId="9" customBuiltin="1"/>
    <cellStyle name="Font: Calibri, 9pt regular" xfId="8"/>
    <cellStyle name="Font: Calibri, 9pt regular 2" xfId="20"/>
    <cellStyle name="Footnotes: all except top row" xfId="11"/>
    <cellStyle name="Footnotes: top row" xfId="6"/>
    <cellStyle name="Footnotes: top row 2" xfId="25"/>
    <cellStyle name="Header: bottom row" xfId="1"/>
    <cellStyle name="Header: bottom row 2" xfId="21"/>
    <cellStyle name="Header: top rows" xfId="3"/>
    <cellStyle name="Hyperlink" xfId="9" builtinId="8" customBuiltin="1"/>
    <cellStyle name="Normal" xfId="0" builtinId="0"/>
    <cellStyle name="Normal 2" xfId="19"/>
    <cellStyle name="Normal 3" xfId="13"/>
    <cellStyle name="Normal 4" xfId="14"/>
    <cellStyle name="Normal 5" xfId="15"/>
    <cellStyle name="Normal 58" xfId="17"/>
    <cellStyle name="Normal 6" xfId="16"/>
    <cellStyle name="Parent row" xfId="5"/>
    <cellStyle name="Parent row 2" xfId="23"/>
    <cellStyle name="Percent" xfId="18" builtinId="5"/>
    <cellStyle name="Section Break" xfId="7"/>
    <cellStyle name="Section Break: parent row" xfId="4"/>
    <cellStyle name="Table title" xfId="12"/>
    <cellStyle name="Table title 2" xfId="22"/>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Ref>
              <c:f>'Mining Breakdown'!$A$67:$A$110</c:f>
              <c:numCache>
                <c:formatCode>yyyy\-mm\-dd</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Cache>
            </c:numRef>
          </c:xVal>
          <c:yVal>
            <c:numRef>
              <c:f>'Mining Breakdown'!$B$67:$B$110</c:f>
              <c:numCache>
                <c:formatCode>0.0000</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Cache>
            </c:numRef>
          </c:yVal>
          <c:smooth val="0"/>
          <c:extLst>
            <c:ext xmlns:c16="http://schemas.microsoft.com/office/drawing/2014/chart" uri="{C3380CC4-5D6E-409C-BE32-E72D297353CC}">
              <c16:uniqueId val="{00000000-636B-4C2F-8800-F534AAF1C0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yyyy\-mm\-dd"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0.0000"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Ref>
              <c:f>'Mining Breakdown'!$A$32:$A$42</c:f>
              <c:numCache>
                <c:formatCode>General</c:formatCode>
                <c:ptCount val="11"/>
                <c:pt idx="0">
                  <c:v>2017</c:v>
                </c:pt>
                <c:pt idx="1">
                  <c:v>2016</c:v>
                </c:pt>
                <c:pt idx="2">
                  <c:v>2015</c:v>
                </c:pt>
                <c:pt idx="3">
                  <c:v>2014</c:v>
                </c:pt>
                <c:pt idx="4">
                  <c:v>2013</c:v>
                </c:pt>
                <c:pt idx="5">
                  <c:v>2012</c:v>
                </c:pt>
                <c:pt idx="6">
                  <c:v>2011</c:v>
                </c:pt>
                <c:pt idx="7">
                  <c:v>2010</c:v>
                </c:pt>
                <c:pt idx="8">
                  <c:v>2009</c:v>
                </c:pt>
                <c:pt idx="9">
                  <c:v>2008</c:v>
                </c:pt>
                <c:pt idx="10">
                  <c:v>2007</c:v>
                </c:pt>
              </c:numCache>
            </c:numRef>
          </c:xVal>
          <c:yVal>
            <c:numRef>
              <c:f>'Mining Breakdown'!$B$32:$B$42</c:f>
              <c:numCache>
                <c:formatCode>General</c:formatCode>
                <c:ptCount val="11"/>
                <c:pt idx="0">
                  <c:v>774609357</c:v>
                </c:pt>
                <c:pt idx="1">
                  <c:v>728364498</c:v>
                </c:pt>
                <c:pt idx="2">
                  <c:v>896940563</c:v>
                </c:pt>
                <c:pt idx="3">
                  <c:v>1000048758</c:v>
                </c:pt>
                <c:pt idx="4">
                  <c:v>984841779</c:v>
                </c:pt>
                <c:pt idx="5">
                  <c:v>1016458418</c:v>
                </c:pt>
                <c:pt idx="6">
                  <c:v>1095627536</c:v>
                </c:pt>
                <c:pt idx="7">
                  <c:v>1084368148</c:v>
                </c:pt>
                <c:pt idx="8">
                  <c:v>1074923392</c:v>
                </c:pt>
                <c:pt idx="9">
                  <c:v>1171808669</c:v>
                </c:pt>
                <c:pt idx="10">
                  <c:v>1146635345</c:v>
                </c:pt>
              </c:numCache>
            </c:numRef>
          </c:yVal>
          <c:smooth val="0"/>
          <c:extLst>
            <c:ext xmlns:c16="http://schemas.microsoft.com/office/drawing/2014/chart" uri="{C3380CC4-5D6E-409C-BE32-E72D297353CC}">
              <c16:uniqueId val="{00000000-6CDE-4926-AF32-BF50D3A9D2EA}"/>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8370516185476815E-3"/>
                  <c:y val="0.12588327500729077"/>
                </c:manualLayout>
              </c:layout>
              <c:numFmt formatCode="General" sourceLinked="0"/>
              <c:txPr>
                <a:bodyPr/>
                <a:lstStyle/>
                <a:p>
                  <a:pPr>
                    <a:defRPr sz="1200"/>
                  </a:pPr>
                  <a:endParaRPr lang="en-US"/>
                </a:p>
              </c:txPr>
            </c:trendlineLbl>
          </c:trendline>
          <c:xVal>
            <c:numLit>
              <c:formatCode>General</c:formatCode>
              <c:ptCount val="44"/>
              <c:pt idx="0">
                <c:v>39083</c:v>
              </c:pt>
              <c:pt idx="1">
                <c:v>39173</c:v>
              </c:pt>
              <c:pt idx="2">
                <c:v>39264</c:v>
              </c:pt>
              <c:pt idx="3">
                <c:v>39356</c:v>
              </c:pt>
              <c:pt idx="4">
                <c:v>39448</c:v>
              </c:pt>
              <c:pt idx="5">
                <c:v>39539</c:v>
              </c:pt>
              <c:pt idx="6">
                <c:v>39630</c:v>
              </c:pt>
              <c:pt idx="7">
                <c:v>39722</c:v>
              </c:pt>
              <c:pt idx="8">
                <c:v>39814</c:v>
              </c:pt>
              <c:pt idx="9">
                <c:v>39904</c:v>
              </c:pt>
              <c:pt idx="10">
                <c:v>39995</c:v>
              </c:pt>
              <c:pt idx="11">
                <c:v>40087</c:v>
              </c:pt>
              <c:pt idx="12">
                <c:v>40179</c:v>
              </c:pt>
              <c:pt idx="13">
                <c:v>40269</c:v>
              </c:pt>
              <c:pt idx="14">
                <c:v>40360</c:v>
              </c:pt>
              <c:pt idx="15">
                <c:v>40452</c:v>
              </c:pt>
              <c:pt idx="16">
                <c:v>40544</c:v>
              </c:pt>
              <c:pt idx="17">
                <c:v>40634</c:v>
              </c:pt>
              <c:pt idx="18">
                <c:v>40725</c:v>
              </c:pt>
              <c:pt idx="19">
                <c:v>40817</c:v>
              </c:pt>
              <c:pt idx="20">
                <c:v>40909</c:v>
              </c:pt>
              <c:pt idx="21">
                <c:v>41000</c:v>
              </c:pt>
              <c:pt idx="22">
                <c:v>41091</c:v>
              </c:pt>
              <c:pt idx="23">
                <c:v>41183</c:v>
              </c:pt>
              <c:pt idx="24">
                <c:v>41275</c:v>
              </c:pt>
              <c:pt idx="25">
                <c:v>41365</c:v>
              </c:pt>
              <c:pt idx="26">
                <c:v>41456</c:v>
              </c:pt>
              <c:pt idx="27">
                <c:v>41548</c:v>
              </c:pt>
              <c:pt idx="28">
                <c:v>41640</c:v>
              </c:pt>
              <c:pt idx="29">
                <c:v>41730</c:v>
              </c:pt>
              <c:pt idx="30">
                <c:v>41821</c:v>
              </c:pt>
              <c:pt idx="31">
                <c:v>41913</c:v>
              </c:pt>
              <c:pt idx="32">
                <c:v>42005</c:v>
              </c:pt>
              <c:pt idx="33">
                <c:v>42095</c:v>
              </c:pt>
              <c:pt idx="34">
                <c:v>42186</c:v>
              </c:pt>
              <c:pt idx="35">
                <c:v>42278</c:v>
              </c:pt>
              <c:pt idx="36">
                <c:v>42370</c:v>
              </c:pt>
              <c:pt idx="37">
                <c:v>42461</c:v>
              </c:pt>
              <c:pt idx="38">
                <c:v>42552</c:v>
              </c:pt>
              <c:pt idx="39">
                <c:v>42644</c:v>
              </c:pt>
              <c:pt idx="40">
                <c:v>42736</c:v>
              </c:pt>
              <c:pt idx="41">
                <c:v>42826</c:v>
              </c:pt>
              <c:pt idx="42">
                <c:v>42917</c:v>
              </c:pt>
              <c:pt idx="43">
                <c:v>43009</c:v>
              </c:pt>
            </c:numLit>
          </c:xVal>
          <c:yVal>
            <c:numLit>
              <c:formatCode>General</c:formatCode>
              <c:ptCount val="44"/>
              <c:pt idx="0">
                <c:v>99.267099999999999</c:v>
              </c:pt>
              <c:pt idx="1">
                <c:v>104.2872</c:v>
              </c:pt>
              <c:pt idx="2">
                <c:v>106.077</c:v>
              </c:pt>
              <c:pt idx="3">
                <c:v>100.1306</c:v>
              </c:pt>
              <c:pt idx="4">
                <c:v>102.83580000000001</c:v>
              </c:pt>
              <c:pt idx="5">
                <c:v>112.3052</c:v>
              </c:pt>
              <c:pt idx="6">
                <c:v>116.2882</c:v>
              </c:pt>
              <c:pt idx="7">
                <c:v>112.4958</c:v>
              </c:pt>
              <c:pt idx="8">
                <c:v>103.09180000000001</c:v>
              </c:pt>
              <c:pt idx="9">
                <c:v>102.3082</c:v>
              </c:pt>
              <c:pt idx="10">
                <c:v>100.2642</c:v>
              </c:pt>
              <c:pt idx="11">
                <c:v>98.797899999999998</c:v>
              </c:pt>
              <c:pt idx="12">
                <c:v>97.08</c:v>
              </c:pt>
              <c:pt idx="13">
                <c:v>93.694699999999997</c:v>
              </c:pt>
              <c:pt idx="14">
                <c:v>95.671199999999999</c:v>
              </c:pt>
              <c:pt idx="15">
                <c:v>97.705600000000004</c:v>
              </c:pt>
              <c:pt idx="16">
                <c:v>93.684100000000001</c:v>
              </c:pt>
              <c:pt idx="17">
                <c:v>95.465100000000007</c:v>
              </c:pt>
              <c:pt idx="18">
                <c:v>95.0244</c:v>
              </c:pt>
              <c:pt idx="19">
                <c:v>100.304</c:v>
              </c:pt>
              <c:pt idx="20">
                <c:v>95.764899999999997</c:v>
              </c:pt>
              <c:pt idx="21">
                <c:v>95.798500000000004</c:v>
              </c:pt>
              <c:pt idx="22">
                <c:v>99.638300000000001</c:v>
              </c:pt>
              <c:pt idx="23">
                <c:v>108.7984</c:v>
              </c:pt>
              <c:pt idx="24">
                <c:v>103.8347</c:v>
              </c:pt>
              <c:pt idx="25">
                <c:v>103.6388</c:v>
              </c:pt>
              <c:pt idx="26">
                <c:v>107.0341</c:v>
              </c:pt>
              <c:pt idx="27">
                <c:v>111.393</c:v>
              </c:pt>
              <c:pt idx="28">
                <c:v>117.76479999999999</c:v>
              </c:pt>
              <c:pt idx="29">
                <c:v>115.3798</c:v>
              </c:pt>
              <c:pt idx="30">
                <c:v>116.066</c:v>
              </c:pt>
              <c:pt idx="31">
                <c:v>113.0398</c:v>
              </c:pt>
              <c:pt idx="32">
                <c:v>116.0885</c:v>
              </c:pt>
              <c:pt idx="33">
                <c:v>112.4504</c:v>
              </c:pt>
              <c:pt idx="34">
                <c:v>116.9135</c:v>
              </c:pt>
              <c:pt idx="35">
                <c:v>121.7403</c:v>
              </c:pt>
              <c:pt idx="36">
                <c:v>122.0089</c:v>
              </c:pt>
              <c:pt idx="37">
                <c:v>122.38030000000001</c:v>
              </c:pt>
              <c:pt idx="38">
                <c:v>119.1635</c:v>
              </c:pt>
              <c:pt idx="39">
                <c:v>114.9307</c:v>
              </c:pt>
              <c:pt idx="40">
                <c:v>109.84480000000001</c:v>
              </c:pt>
              <c:pt idx="41">
                <c:v>108.5098</c:v>
              </c:pt>
              <c:pt idx="42">
                <c:v>103.5835</c:v>
              </c:pt>
              <c:pt idx="43">
                <c:v>105.25449999999999</c:v>
              </c:pt>
            </c:numLit>
          </c:yVal>
          <c:smooth val="0"/>
          <c:extLst>
            <c:ext xmlns:c16="http://schemas.microsoft.com/office/drawing/2014/chart" uri="{C3380CC4-5D6E-409C-BE32-E72D297353CC}">
              <c16:uniqueId val="{00000001-1B02-894B-9108-9D42C5C0EA62}"/>
            </c:ext>
          </c:extLst>
        </c:ser>
        <c:dLbls>
          <c:showLegendKey val="0"/>
          <c:showVal val="0"/>
          <c:showCatName val="0"/>
          <c:showSerName val="0"/>
          <c:showPercent val="0"/>
          <c:showBubbleSize val="0"/>
        </c:dLbls>
        <c:axId val="124252160"/>
        <c:axId val="124253696"/>
      </c:scatterChart>
      <c:valAx>
        <c:axId val="124252160"/>
        <c:scaling>
          <c:orientation val="minMax"/>
        </c:scaling>
        <c:delete val="0"/>
        <c:axPos val="b"/>
        <c:numFmt formatCode="General" sourceLinked="1"/>
        <c:majorTickMark val="out"/>
        <c:minorTickMark val="none"/>
        <c:tickLblPos val="nextTo"/>
        <c:crossAx val="124253696"/>
        <c:crosses val="autoZero"/>
        <c:crossBetween val="midCat"/>
      </c:valAx>
      <c:valAx>
        <c:axId val="124253696"/>
        <c:scaling>
          <c:orientation val="minMax"/>
        </c:scaling>
        <c:delete val="0"/>
        <c:axPos val="l"/>
        <c:majorGridlines/>
        <c:numFmt formatCode="General" sourceLinked="1"/>
        <c:majorTickMark val="out"/>
        <c:minorTickMark val="none"/>
        <c:tickLblPos val="nextTo"/>
        <c:crossAx val="124252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1548272090988626"/>
                  <c:y val="5.4864756488772239E-2"/>
                </c:manualLayout>
              </c:layout>
              <c:numFmt formatCode="General" sourceLinked="0"/>
              <c:txPr>
                <a:bodyPr/>
                <a:lstStyle/>
                <a:p>
                  <a:pPr>
                    <a:defRPr sz="1200"/>
                  </a:pPr>
                  <a:endParaRPr lang="en-US"/>
                </a:p>
              </c:txPr>
            </c:trendlineLbl>
          </c:trendline>
          <c:xVal>
            <c:numLit>
              <c:formatCode>General</c:formatCode>
              <c:ptCount val="7"/>
              <c:pt idx="0">
                <c:v>2017</c:v>
              </c:pt>
              <c:pt idx="1">
                <c:v>2016</c:v>
              </c:pt>
              <c:pt idx="2">
                <c:v>2015</c:v>
              </c:pt>
              <c:pt idx="3">
                <c:v>2014</c:v>
              </c:pt>
              <c:pt idx="4">
                <c:v>2013</c:v>
              </c:pt>
              <c:pt idx="5">
                <c:v>2012</c:v>
              </c:pt>
              <c:pt idx="6">
                <c:v>2011</c:v>
              </c:pt>
            </c:numLit>
          </c:xVal>
          <c:yVal>
            <c:numLit>
              <c:formatCode>General</c:formatCode>
              <c:ptCount val="7"/>
              <c:pt idx="0">
                <c:v>36382244</c:v>
              </c:pt>
              <c:pt idx="1">
                <c:v>39000584</c:v>
              </c:pt>
              <c:pt idx="2">
                <c:v>35917966</c:v>
              </c:pt>
              <c:pt idx="3">
                <c:v>43654013</c:v>
              </c:pt>
              <c:pt idx="4">
                <c:v>42850619</c:v>
              </c:pt>
              <c:pt idx="5">
                <c:v>44178225</c:v>
              </c:pt>
              <c:pt idx="6">
                <c:v>45903597</c:v>
              </c:pt>
            </c:numLit>
          </c:yVal>
          <c:smooth val="0"/>
          <c:extLst>
            <c:ext xmlns:c16="http://schemas.microsoft.com/office/drawing/2014/chart" uri="{C3380CC4-5D6E-409C-BE32-E72D297353CC}">
              <c16:uniqueId val="{00000001-E5DB-2B4B-83DE-F904A2F3F2D2}"/>
            </c:ext>
          </c:extLst>
        </c:ser>
        <c:dLbls>
          <c:showLegendKey val="0"/>
          <c:showVal val="0"/>
          <c:showCatName val="0"/>
          <c:showSerName val="0"/>
          <c:showPercent val="0"/>
          <c:showBubbleSize val="0"/>
        </c:dLbls>
        <c:axId val="124675584"/>
        <c:axId val="124677120"/>
      </c:scatterChart>
      <c:valAx>
        <c:axId val="124675584"/>
        <c:scaling>
          <c:orientation val="minMax"/>
        </c:scaling>
        <c:delete val="0"/>
        <c:axPos val="b"/>
        <c:numFmt formatCode="General" sourceLinked="1"/>
        <c:majorTickMark val="out"/>
        <c:minorTickMark val="none"/>
        <c:tickLblPos val="nextTo"/>
        <c:crossAx val="124677120"/>
        <c:crosses val="autoZero"/>
        <c:crossBetween val="midCat"/>
      </c:valAx>
      <c:valAx>
        <c:axId val="124677120"/>
        <c:scaling>
          <c:orientation val="minMax"/>
        </c:scaling>
        <c:delete val="0"/>
        <c:axPos val="l"/>
        <c:majorGridlines/>
        <c:numFmt formatCode="General" sourceLinked="1"/>
        <c:majorTickMark val="out"/>
        <c:minorTickMark val="none"/>
        <c:tickLblPos val="nextTo"/>
        <c:crossAx val="12467558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Pipeline Natural Gas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SEDS'!$C$221:$C$225</c:f>
              <c:numCache>
                <c:formatCode>General</c:formatCode>
                <c:ptCount val="5"/>
                <c:pt idx="0">
                  <c:v>2014</c:v>
                </c:pt>
                <c:pt idx="1">
                  <c:v>2015</c:v>
                </c:pt>
                <c:pt idx="2">
                  <c:v>2016</c:v>
                </c:pt>
                <c:pt idx="3">
                  <c:v>2017</c:v>
                </c:pt>
                <c:pt idx="4">
                  <c:v>2018</c:v>
                </c:pt>
              </c:numCache>
            </c:numRef>
          </c:xVal>
          <c:yVal>
            <c:numRef>
              <c:f>'TX SEDS'!$F$221:$F$225</c:f>
              <c:numCache>
                <c:formatCode>General</c:formatCode>
                <c:ptCount val="5"/>
                <c:pt idx="0">
                  <c:v>105246544000000</c:v>
                </c:pt>
                <c:pt idx="1">
                  <c:v>88184086000000</c:v>
                </c:pt>
                <c:pt idx="2">
                  <c:v>88862553000000</c:v>
                </c:pt>
                <c:pt idx="3">
                  <c:v>87764329999999.984</c:v>
                </c:pt>
                <c:pt idx="4">
                  <c:v>107830537000000</c:v>
                </c:pt>
              </c:numCache>
            </c:numRef>
          </c:yVal>
          <c:smooth val="0"/>
          <c:extLst>
            <c:ext xmlns:c16="http://schemas.microsoft.com/office/drawing/2014/chart" uri="{C3380CC4-5D6E-409C-BE32-E72D297353CC}">
              <c16:uniqueId val="{00000000-3E5A-744B-9188-D92D82E1D708}"/>
            </c:ext>
          </c:extLst>
        </c:ser>
        <c:dLbls>
          <c:showLegendKey val="0"/>
          <c:showVal val="0"/>
          <c:showCatName val="0"/>
          <c:showSerName val="0"/>
          <c:showPercent val="0"/>
          <c:showBubbleSize val="0"/>
        </c:dLbls>
        <c:axId val="772974287"/>
        <c:axId val="784453791"/>
      </c:scatterChart>
      <c:valAx>
        <c:axId val="772974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53791"/>
        <c:crosses val="autoZero"/>
        <c:crossBetween val="midCat"/>
      </c:valAx>
      <c:valAx>
        <c:axId val="78445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742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 Oil in 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'TX SEDS'!$C$217:$C$226</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'TX SEDS'!$D$217:$D$226</c:f>
              <c:numCache>
                <c:formatCode>General</c:formatCode>
                <c:ptCount val="10"/>
                <c:pt idx="0">
                  <c:v>8835957800000000</c:v>
                </c:pt>
                <c:pt idx="1">
                  <c:v>8595716000000000</c:v>
                </c:pt>
                <c:pt idx="2">
                  <c:v>9168036800000000</c:v>
                </c:pt>
                <c:pt idx="3">
                  <c:v>9653995600000000</c:v>
                </c:pt>
                <c:pt idx="4">
                  <c:v>9977368800000000</c:v>
                </c:pt>
                <c:pt idx="5">
                  <c:v>1.03053124E+16</c:v>
                </c:pt>
                <c:pt idx="6">
                  <c:v>1.02954002E+16</c:v>
                </c:pt>
                <c:pt idx="7">
                  <c:v>1.05420858E+16</c:v>
                </c:pt>
                <c:pt idx="8">
                  <c:v>1.11879796E+16</c:v>
                </c:pt>
                <c:pt idx="9">
                  <c:v>1.08039848E+16</c:v>
                </c:pt>
              </c:numCache>
            </c:numRef>
          </c:yVal>
          <c:smooth val="0"/>
          <c:extLst>
            <c:ext xmlns:c16="http://schemas.microsoft.com/office/drawing/2014/chart" uri="{C3380CC4-5D6E-409C-BE32-E72D297353CC}">
              <c16:uniqueId val="{00000000-22F3-A74A-9803-533E0E5D5011}"/>
            </c:ext>
          </c:extLst>
        </c:ser>
        <c:dLbls>
          <c:showLegendKey val="0"/>
          <c:showVal val="0"/>
          <c:showCatName val="0"/>
          <c:showSerName val="0"/>
          <c:showPercent val="0"/>
          <c:showBubbleSize val="0"/>
        </c:dLbls>
        <c:axId val="867062799"/>
        <c:axId val="866667775"/>
      </c:scatterChart>
      <c:valAx>
        <c:axId val="86706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667775"/>
        <c:crosses val="autoZero"/>
        <c:crossBetween val="midCat"/>
      </c:valAx>
      <c:valAx>
        <c:axId val="86666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279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514350</xdr:colOff>
      <xdr:row>67</xdr:row>
      <xdr:rowOff>23812</xdr:rowOff>
    </xdr:from>
    <xdr:to>
      <xdr:col>4</xdr:col>
      <xdr:colOff>1295400</xdr:colOff>
      <xdr:row>81</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31</xdr:row>
      <xdr:rowOff>14287</xdr:rowOff>
    </xdr:from>
    <xdr:to>
      <xdr:col>4</xdr:col>
      <xdr:colOff>1104900</xdr:colOff>
      <xdr:row>45</xdr:row>
      <xdr:rowOff>90487</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67</xdr:row>
      <xdr:rowOff>23812</xdr:rowOff>
    </xdr:from>
    <xdr:to>
      <xdr:col>4</xdr:col>
      <xdr:colOff>1295400</xdr:colOff>
      <xdr:row>81</xdr:row>
      <xdr:rowOff>100012</xdr:rowOff>
    </xdr:to>
    <xdr:graphicFrame macro="">
      <xdr:nvGraphicFramePr>
        <xdr:cNvPr id="6" name="Chart 5">
          <a:extLst>
            <a:ext uri="{FF2B5EF4-FFF2-40B4-BE49-F238E27FC236}">
              <a16:creationId xmlns:a16="http://schemas.microsoft.com/office/drawing/2014/main" id="{7F1A297A-EFEB-D742-A802-4F07CC11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260350</xdr:colOff>
      <xdr:row>22</xdr:row>
      <xdr:rowOff>90487</xdr:rowOff>
    </xdr:from>
    <xdr:to>
      <xdr:col>14</xdr:col>
      <xdr:colOff>165100</xdr:colOff>
      <xdr:row>36</xdr:row>
      <xdr:rowOff>166687</xdr:rowOff>
    </xdr:to>
    <xdr:graphicFrame macro="">
      <xdr:nvGraphicFramePr>
        <xdr:cNvPr id="7" name="Chart 6">
          <a:extLst>
            <a:ext uri="{FF2B5EF4-FFF2-40B4-BE49-F238E27FC236}">
              <a16:creationId xmlns:a16="http://schemas.microsoft.com/office/drawing/2014/main" id="{A3A79D27-8931-ED4B-8D04-C160C407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905933</xdr:colOff>
      <xdr:row>227</xdr:row>
      <xdr:rowOff>76200</xdr:rowOff>
    </xdr:from>
    <xdr:to>
      <xdr:col>6</xdr:col>
      <xdr:colOff>8466</xdr:colOff>
      <xdr:row>242</xdr:row>
      <xdr:rowOff>25400</xdr:rowOff>
    </xdr:to>
    <xdr:graphicFrame macro="">
      <xdr:nvGraphicFramePr>
        <xdr:cNvPr id="5" name="Chart 4">
          <a:extLst>
            <a:ext uri="{FF2B5EF4-FFF2-40B4-BE49-F238E27FC236}">
              <a16:creationId xmlns:a16="http://schemas.microsoft.com/office/drawing/2014/main" id="{FDE56385-14A3-124D-A397-A8EDBFBAD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227</xdr:row>
      <xdr:rowOff>42333</xdr:rowOff>
    </xdr:from>
    <xdr:to>
      <xdr:col>11</xdr:col>
      <xdr:colOff>516467</xdr:colOff>
      <xdr:row>241</xdr:row>
      <xdr:rowOff>177800</xdr:rowOff>
    </xdr:to>
    <xdr:graphicFrame macro="">
      <xdr:nvGraphicFramePr>
        <xdr:cNvPr id="6" name="Chart 5">
          <a:extLst>
            <a:ext uri="{FF2B5EF4-FFF2-40B4-BE49-F238E27FC236}">
              <a16:creationId xmlns:a16="http://schemas.microsoft.com/office/drawing/2014/main" id="{2039476D-E6EF-1C4F-A0CA-B57787F26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opscience.iop.org/1748-9326/7/3/034034/media/erl426087suppdata.pdf" TargetMode="External"/><Relationship Id="rId3" Type="http://schemas.openxmlformats.org/officeDocument/2006/relationships/hyperlink" Target="https://www.eia.gov/dnav/pet/pet_pnp_inpt2_dc_r3a_mbbl_a.htm" TargetMode="External"/><Relationship Id="rId7" Type="http://schemas.openxmlformats.org/officeDocument/2006/relationships/hyperlink" Target="https://www.eia.gov/consumption/manufacturing/data/2014/index.php?view=methodology_2014" TargetMode="External"/><Relationship Id="rId2" Type="http://schemas.openxmlformats.org/officeDocument/2006/relationships/hyperlink" Target="https://www.eia.gov/state/seds/data.php?incfile=/state/seds/sep_use/ind/use_ind_TX.html&amp;sid=TX" TargetMode="External"/><Relationship Id="rId1" Type="http://schemas.openxmlformats.org/officeDocument/2006/relationships/hyperlink" Target="https://data.nrel.gov/submissions/122" TargetMode="External"/><Relationship Id="rId6" Type="http://schemas.openxmlformats.org/officeDocument/2006/relationships/hyperlink" Target="https://www.census.gov/cgi-bin/sssd/naics/naicsrch?input=mining&amp;search=2017+NAICS+Search&amp;search=2017" TargetMode="External"/><Relationship Id="rId5" Type="http://schemas.openxmlformats.org/officeDocument/2006/relationships/hyperlink" Target="https://www.eia.gov/outlooks/aeo/assumptions/pdf/industrial.pdf" TargetMode="External"/><Relationship Id="rId10" Type="http://schemas.openxmlformats.org/officeDocument/2006/relationships/printerSettings" Target="../printerSettings/printerSettings1.bin"/><Relationship Id="rId4" Type="http://schemas.openxmlformats.org/officeDocument/2006/relationships/hyperlink" Target="https://www.eia.gov/dnav/ng/ng_cons_sum_dcu_STX_a.htm" TargetMode="External"/><Relationship Id="rId9" Type="http://schemas.openxmlformats.org/officeDocument/2006/relationships/hyperlink" Target="https://www.eia.gov/dnav/ng/ng_cons_sum_dcu_STX_a.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eia.gov/state/seds/sep_use/notes/use_petrol.pdf" TargetMode="External"/><Relationship Id="rId1" Type="http://schemas.openxmlformats.org/officeDocument/2006/relationships/hyperlink" Target="https://www.eia.gov/state/seds/data.php?incfile=/state/seds/sep_use/ind/use_ind_TX.html&amp;sid=T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hyperlink" Target="https://pubs.usgs.gov/circ/1441/circ1441.pdf" TargetMode="External"/><Relationship Id="rId2" Type="http://schemas.openxmlformats.org/officeDocument/2006/relationships/hyperlink" Target="https://www.tceq.texas.gov/assets/public/comm_exec/pubs/as/187-18.pdf" TargetMode="External"/><Relationship Id="rId1" Type="http://schemas.openxmlformats.org/officeDocument/2006/relationships/hyperlink" Target="https://www.epa.gov/facts-and-figures-about-materials-waste-and-recycling/national-overview-facts-and-figures-material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pubs.usgs.gov/circ/1441/circ1441.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tr@eia.gov" TargetMode="External"/><Relationship Id="rId7" Type="http://schemas.openxmlformats.org/officeDocument/2006/relationships/hyperlink" Target="https://www.eia.gov/dnav/ng/hist/na1480_stx_2a.htm" TargetMode="External"/><Relationship Id="rId2" Type="http://schemas.openxmlformats.org/officeDocument/2006/relationships/hyperlink" Target="http://www.eia.gov/" TargetMode="External"/><Relationship Id="rId1" Type="http://schemas.openxmlformats.org/officeDocument/2006/relationships/hyperlink" Target="http://tonto.eia.gov/dnav/pet/hist/LeafHandler.ashx?n=PET&amp;s=MCRRO_R3A_1&amp;f=A" TargetMode="External"/><Relationship Id="rId6" Type="http://schemas.openxmlformats.org/officeDocument/2006/relationships/hyperlink" Target="mailto:infoctr@eia.gov" TargetMode="External"/><Relationship Id="rId5" Type="http://schemas.openxmlformats.org/officeDocument/2006/relationships/hyperlink" Target="http://www.eia.gov/" TargetMode="External"/><Relationship Id="rId4" Type="http://schemas.openxmlformats.org/officeDocument/2006/relationships/hyperlink" Target="http://tonto.eia.gov/dnav/pet/hist/LeafHandler.ashx?n=PET&amp;s=MCRRO_R3B_1&amp;f=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a.gov/electricity/data/browser/" TargetMode="External"/><Relationship Id="rId2" Type="http://schemas.openxmlformats.org/officeDocument/2006/relationships/hyperlink" Target="https://www.census.gov/cgi-bin/sssd/naics/naicsrch?input=mining&amp;search=2017+NAICS+Search&amp;search=2017" TargetMode="External"/><Relationship Id="rId1" Type="http://schemas.openxmlformats.org/officeDocument/2006/relationships/hyperlink" Target="https://www.eia.gov/outlooks/aeo/assumptions/pdf/industrial.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tabSelected="1" topLeftCell="A18" zoomScaleNormal="100" workbookViewId="0">
      <selection activeCell="D35" sqref="D35"/>
    </sheetView>
  </sheetViews>
  <sheetFormatPr defaultColWidth="8.796875" defaultRowHeight="14.25"/>
  <cols>
    <col min="2" max="2" width="54.6640625" customWidth="1"/>
    <col min="3" max="3" width="42.33203125" customWidth="1"/>
    <col min="4" max="4" width="57.796875" style="5" bestFit="1" customWidth="1"/>
    <col min="5" max="5" width="12.6640625" style="26" customWidth="1"/>
    <col min="6" max="6" width="11.796875" style="26" customWidth="1"/>
    <col min="7" max="7" width="37" customWidth="1"/>
    <col min="8" max="8" width="12.33203125" bestFit="1" customWidth="1"/>
  </cols>
  <sheetData>
    <row r="1" spans="1:8">
      <c r="A1" s="1" t="s">
        <v>108</v>
      </c>
    </row>
    <row r="2" spans="1:8">
      <c r="G2" s="2" t="s">
        <v>856</v>
      </c>
    </row>
    <row r="3" spans="1:8">
      <c r="A3" s="418" t="s">
        <v>61</v>
      </c>
      <c r="B3" s="407" t="s">
        <v>62</v>
      </c>
      <c r="C3" s="104"/>
      <c r="D3" s="104"/>
      <c r="G3" t="s">
        <v>853</v>
      </c>
    </row>
    <row r="4" spans="1:8">
      <c r="A4" s="104"/>
      <c r="B4" s="104" t="s">
        <v>2</v>
      </c>
      <c r="C4" s="104"/>
      <c r="D4" s="104"/>
      <c r="G4" s="5" t="s">
        <v>854</v>
      </c>
    </row>
    <row r="5" spans="1:8">
      <c r="A5" s="104"/>
      <c r="B5" s="419">
        <v>2019</v>
      </c>
      <c r="C5" s="104"/>
      <c r="D5" s="104"/>
      <c r="G5" s="5" t="s">
        <v>855</v>
      </c>
    </row>
    <row r="6" spans="1:8" s="5" customFormat="1">
      <c r="A6" s="104"/>
      <c r="B6" s="104" t="s">
        <v>118</v>
      </c>
      <c r="C6" s="104"/>
      <c r="D6" s="104"/>
      <c r="E6" s="26"/>
      <c r="F6" s="26"/>
      <c r="G6" s="132" t="s">
        <v>852</v>
      </c>
    </row>
    <row r="7" spans="1:8">
      <c r="A7" s="104"/>
      <c r="B7" s="104" t="s">
        <v>498</v>
      </c>
      <c r="C7" s="104"/>
      <c r="D7" s="104"/>
      <c r="G7" s="144" t="s">
        <v>857</v>
      </c>
    </row>
    <row r="8" spans="1:8" s="5" customFormat="1">
      <c r="A8" s="104"/>
      <c r="B8" s="104"/>
      <c r="C8" s="104"/>
      <c r="D8" s="104"/>
      <c r="E8" s="26"/>
      <c r="F8" s="26"/>
    </row>
    <row r="9" spans="1:8" s="5" customFormat="1">
      <c r="A9" s="104"/>
      <c r="B9" s="407" t="s">
        <v>63</v>
      </c>
      <c r="C9" s="407" t="s">
        <v>106</v>
      </c>
      <c r="D9" s="420"/>
      <c r="E9" s="189"/>
      <c r="F9" s="26"/>
    </row>
    <row r="10" spans="1:8" s="5" customFormat="1">
      <c r="A10" s="104"/>
      <c r="B10" s="104" t="s">
        <v>66</v>
      </c>
      <c r="C10" s="104" t="s">
        <v>64</v>
      </c>
      <c r="D10" s="420"/>
      <c r="E10" s="189"/>
      <c r="F10" s="26"/>
      <c r="G10" s="2" t="s">
        <v>886</v>
      </c>
    </row>
    <row r="11" spans="1:8" s="5" customFormat="1">
      <c r="A11" s="104"/>
      <c r="B11" s="419">
        <v>2012</v>
      </c>
      <c r="C11" s="419">
        <v>2017</v>
      </c>
      <c r="D11" s="420"/>
      <c r="E11" s="189"/>
      <c r="F11" s="26"/>
      <c r="G11" s="5" t="s">
        <v>2</v>
      </c>
    </row>
    <row r="12" spans="1:8" s="5" customFormat="1">
      <c r="A12" s="104"/>
      <c r="B12" s="104" t="s">
        <v>67</v>
      </c>
      <c r="C12" s="104" t="s">
        <v>113</v>
      </c>
      <c r="D12" s="420"/>
      <c r="E12" s="189"/>
      <c r="F12" s="26"/>
      <c r="G12" s="5" t="s">
        <v>888</v>
      </c>
    </row>
    <row r="13" spans="1:8" s="5" customFormat="1">
      <c r="A13" s="104"/>
      <c r="B13" s="231" t="s">
        <v>60</v>
      </c>
      <c r="C13" s="104" t="s">
        <v>112</v>
      </c>
      <c r="D13" s="420"/>
      <c r="E13" s="189"/>
      <c r="F13" s="26"/>
      <c r="G13" s="5" t="s">
        <v>889</v>
      </c>
    </row>
    <row r="14" spans="1:8" s="5" customFormat="1">
      <c r="A14" s="104"/>
      <c r="B14" s="104" t="s">
        <v>68</v>
      </c>
      <c r="C14" s="421" t="s">
        <v>107</v>
      </c>
      <c r="D14" s="420"/>
      <c r="E14" s="189"/>
      <c r="F14" s="26"/>
      <c r="G14" s="132" t="s">
        <v>773</v>
      </c>
    </row>
    <row r="15" spans="1:8" s="5" customFormat="1">
      <c r="A15" s="104"/>
      <c r="B15" s="104"/>
      <c r="C15" s="104"/>
      <c r="D15" s="420"/>
      <c r="E15" s="189"/>
      <c r="F15" s="26"/>
      <c r="G15" s="132" t="s">
        <v>960</v>
      </c>
    </row>
    <row r="16" spans="1:8">
      <c r="A16" s="104"/>
      <c r="B16" s="407" t="s">
        <v>3</v>
      </c>
      <c r="C16" s="407" t="s">
        <v>28</v>
      </c>
      <c r="D16" s="407" t="s">
        <v>10</v>
      </c>
      <c r="E16" s="41"/>
      <c r="G16" s="466" t="s">
        <v>1334</v>
      </c>
      <c r="H16" s="36"/>
    </row>
    <row r="17" spans="1:7">
      <c r="A17" s="104"/>
      <c r="B17" s="104" t="s">
        <v>4</v>
      </c>
      <c r="C17" s="104" t="s">
        <v>98</v>
      </c>
      <c r="D17" s="104"/>
    </row>
    <row r="18" spans="1:7" ht="28.5">
      <c r="A18" s="104"/>
      <c r="B18" s="104" t="s">
        <v>5</v>
      </c>
      <c r="C18" s="104" t="s">
        <v>496</v>
      </c>
      <c r="D18" s="422" t="s">
        <v>497</v>
      </c>
      <c r="E18" s="190"/>
      <c r="G18" s="2" t="s">
        <v>920</v>
      </c>
    </row>
    <row r="19" spans="1:7">
      <c r="A19" s="104"/>
      <c r="B19" s="104" t="s">
        <v>6</v>
      </c>
      <c r="C19" s="104" t="s">
        <v>99</v>
      </c>
      <c r="D19" s="104" t="s">
        <v>499</v>
      </c>
      <c r="G19" t="s">
        <v>2</v>
      </c>
    </row>
    <row r="20" spans="1:7">
      <c r="A20" s="104"/>
      <c r="B20" s="104" t="s">
        <v>7</v>
      </c>
      <c r="C20" s="104" t="s">
        <v>100</v>
      </c>
      <c r="D20" s="104"/>
      <c r="G20" t="s">
        <v>921</v>
      </c>
    </row>
    <row r="21" spans="1:7">
      <c r="A21" s="104"/>
      <c r="B21" s="104" t="s">
        <v>11</v>
      </c>
      <c r="C21" s="104" t="s">
        <v>101</v>
      </c>
      <c r="D21" s="104"/>
      <c r="G21" t="s">
        <v>922</v>
      </c>
    </row>
    <row r="22" spans="1:7">
      <c r="A22" s="104"/>
      <c r="B22" s="104" t="s">
        <v>8</v>
      </c>
      <c r="C22" s="104" t="s">
        <v>69</v>
      </c>
      <c r="D22" s="104" t="s">
        <v>65</v>
      </c>
      <c r="G22" s="132" t="s">
        <v>919</v>
      </c>
    </row>
    <row r="23" spans="1:7">
      <c r="A23" s="104"/>
      <c r="B23" s="104" t="s">
        <v>50</v>
      </c>
      <c r="C23" s="104" t="s">
        <v>101</v>
      </c>
      <c r="D23" s="104"/>
      <c r="F23" s="188"/>
      <c r="G23" s="5" t="s">
        <v>923</v>
      </c>
    </row>
    <row r="24" spans="1:7">
      <c r="A24" s="104"/>
      <c r="B24" s="104" t="s">
        <v>9</v>
      </c>
      <c r="C24" s="104" t="s">
        <v>500</v>
      </c>
      <c r="D24" s="104" t="s">
        <v>501</v>
      </c>
    </row>
    <row r="25" spans="1:7" s="5" customFormat="1">
      <c r="A25" s="104"/>
      <c r="B25" s="104"/>
      <c r="C25" s="104"/>
      <c r="D25" s="104"/>
      <c r="E25" s="26"/>
      <c r="F25" s="26"/>
      <c r="G25" s="2" t="s">
        <v>959</v>
      </c>
    </row>
    <row r="26" spans="1:7" s="5" customFormat="1">
      <c r="A26" s="104"/>
      <c r="B26" s="407" t="s">
        <v>520</v>
      </c>
      <c r="C26" s="104"/>
      <c r="D26" s="104"/>
      <c r="E26" s="26"/>
      <c r="F26" s="26"/>
      <c r="G26" s="26" t="s">
        <v>2</v>
      </c>
    </row>
    <row r="27" spans="1:7" s="5" customFormat="1">
      <c r="A27" s="104"/>
      <c r="B27" s="104" t="s">
        <v>521</v>
      </c>
      <c r="C27" s="104"/>
      <c r="D27" s="104"/>
      <c r="E27" s="26"/>
      <c r="F27" s="26"/>
      <c r="G27" s="26" t="s">
        <v>887</v>
      </c>
    </row>
    <row r="28" spans="1:7" s="5" customFormat="1">
      <c r="A28" s="104"/>
      <c r="B28" s="419">
        <v>2007</v>
      </c>
      <c r="C28" s="104"/>
      <c r="D28" s="104"/>
      <c r="E28" s="26"/>
      <c r="F28" s="26"/>
      <c r="G28" s="26" t="s">
        <v>964</v>
      </c>
    </row>
    <row r="29" spans="1:7" s="5" customFormat="1">
      <c r="A29" s="104"/>
      <c r="B29" s="104" t="s">
        <v>522</v>
      </c>
      <c r="C29" s="104"/>
      <c r="D29" s="104"/>
      <c r="E29" s="26"/>
      <c r="F29" s="26"/>
      <c r="G29" s="132" t="s">
        <v>960</v>
      </c>
    </row>
    <row r="30" spans="1:7" s="5" customFormat="1">
      <c r="A30" s="104"/>
      <c r="B30" s="104" t="s">
        <v>519</v>
      </c>
      <c r="C30" s="104"/>
      <c r="D30" s="104"/>
      <c r="E30" s="26"/>
      <c r="F30" s="26"/>
      <c r="G30" s="41"/>
    </row>
    <row r="31" spans="1:7" s="5" customFormat="1">
      <c r="A31" s="104"/>
      <c r="B31" s="104" t="s">
        <v>529</v>
      </c>
      <c r="C31" s="104"/>
      <c r="D31" s="104"/>
      <c r="E31" s="26"/>
      <c r="F31" s="26"/>
    </row>
    <row r="32" spans="1:7" s="5" customFormat="1">
      <c r="A32" s="104"/>
      <c r="B32" s="104"/>
      <c r="C32" s="104"/>
      <c r="D32" s="104"/>
      <c r="E32" s="26"/>
      <c r="F32" s="26"/>
    </row>
    <row r="33" spans="1:7" s="5" customFormat="1">
      <c r="A33" s="104"/>
      <c r="B33" s="407" t="s">
        <v>583</v>
      </c>
      <c r="C33" s="104"/>
      <c r="D33" s="104"/>
      <c r="E33" s="26"/>
      <c r="F33" s="26"/>
      <c r="G33" s="132"/>
    </row>
    <row r="34" spans="1:7" s="5" customFormat="1">
      <c r="A34" s="104"/>
      <c r="B34" s="104" t="s">
        <v>584</v>
      </c>
      <c r="C34" s="104"/>
      <c r="D34" s="104"/>
      <c r="E34" s="26"/>
      <c r="F34" s="26"/>
      <c r="G34" s="144"/>
    </row>
    <row r="35" spans="1:7" s="5" customFormat="1">
      <c r="A35" s="104"/>
      <c r="B35" s="419">
        <v>2019</v>
      </c>
      <c r="C35" s="104"/>
      <c r="D35" s="104"/>
      <c r="E35" s="26"/>
      <c r="F35" s="26"/>
      <c r="G35" s="132"/>
    </row>
    <row r="36" spans="1:7" s="5" customFormat="1">
      <c r="A36" s="104"/>
      <c r="B36" s="104" t="s">
        <v>585</v>
      </c>
      <c r="C36" s="104"/>
      <c r="D36" s="104"/>
      <c r="E36" s="26"/>
      <c r="F36" s="26"/>
      <c r="G36" s="144"/>
    </row>
    <row r="37" spans="1:7" s="5" customFormat="1">
      <c r="A37" s="104"/>
      <c r="B37" s="104" t="s">
        <v>531</v>
      </c>
      <c r="C37" s="104"/>
      <c r="D37" s="104"/>
      <c r="E37" s="26"/>
      <c r="F37" s="26"/>
    </row>
    <row r="38" spans="1:7" s="5" customFormat="1">
      <c r="A38" s="104"/>
      <c r="B38" s="104"/>
      <c r="C38" s="104"/>
      <c r="D38" s="104"/>
      <c r="E38" s="26"/>
      <c r="F38" s="26"/>
    </row>
    <row r="39" spans="1:7" s="5" customFormat="1">
      <c r="A39" s="104"/>
      <c r="B39" s="407" t="s">
        <v>582</v>
      </c>
      <c r="C39" s="104"/>
      <c r="D39" s="104"/>
      <c r="E39" s="26"/>
      <c r="F39" s="26"/>
    </row>
    <row r="40" spans="1:7" s="5" customFormat="1">
      <c r="A40" s="104"/>
      <c r="B40" s="104" t="s">
        <v>580</v>
      </c>
      <c r="C40" s="104"/>
      <c r="D40" s="104"/>
      <c r="E40" s="26"/>
      <c r="F40" s="26"/>
    </row>
    <row r="41" spans="1:7" s="5" customFormat="1">
      <c r="A41" s="104"/>
      <c r="B41" s="419">
        <v>2019</v>
      </c>
      <c r="C41" s="104"/>
      <c r="D41" s="104"/>
      <c r="E41" s="26"/>
      <c r="F41" s="26"/>
    </row>
    <row r="42" spans="1:7" s="5" customFormat="1">
      <c r="A42" s="104"/>
      <c r="B42" s="104" t="s">
        <v>548</v>
      </c>
      <c r="C42" s="104"/>
      <c r="D42" s="104"/>
      <c r="E42" s="26"/>
      <c r="F42" s="26"/>
    </row>
    <row r="43" spans="1:7" s="5" customFormat="1">
      <c r="A43" s="104"/>
      <c r="B43" s="104" t="s">
        <v>581</v>
      </c>
      <c r="C43" s="104"/>
      <c r="D43" s="104"/>
      <c r="E43" s="26"/>
      <c r="F43" s="26"/>
    </row>
    <row r="44" spans="1:7" s="5" customFormat="1">
      <c r="A44" s="104"/>
      <c r="B44" s="104"/>
      <c r="C44" s="104"/>
      <c r="D44" s="104"/>
      <c r="E44" s="26"/>
      <c r="F44" s="26"/>
    </row>
    <row r="45" spans="1:7" s="5" customFormat="1">
      <c r="A45" s="104"/>
      <c r="B45" s="104"/>
      <c r="C45" s="104"/>
      <c r="D45" s="104"/>
      <c r="E45" s="26"/>
      <c r="F45" s="26"/>
    </row>
    <row r="46" spans="1:7">
      <c r="A46" s="418" t="s">
        <v>70</v>
      </c>
      <c r="B46" s="104"/>
      <c r="C46" s="104"/>
      <c r="D46" s="104"/>
    </row>
    <row r="47" spans="1:7" s="5" customFormat="1">
      <c r="A47" s="311" t="s">
        <v>109</v>
      </c>
      <c r="B47" s="311"/>
      <c r="E47" s="26"/>
      <c r="F47" s="26"/>
    </row>
    <row r="48" spans="1:7" s="5" customFormat="1">
      <c r="A48" s="311" t="s">
        <v>110</v>
      </c>
      <c r="B48" s="311"/>
      <c r="E48" s="26"/>
      <c r="F48" s="26"/>
    </row>
    <row r="49" spans="1:7" s="5" customFormat="1">
      <c r="A49" s="311" t="s">
        <v>111</v>
      </c>
      <c r="B49" s="311"/>
      <c r="E49" s="26"/>
      <c r="F49" s="26"/>
    </row>
    <row r="50" spans="1:7" s="5" customFormat="1">
      <c r="A50" s="311"/>
      <c r="B50" s="311"/>
      <c r="E50" s="26"/>
      <c r="F50" s="26"/>
    </row>
    <row r="51" spans="1:7" s="5" customFormat="1">
      <c r="A51" s="416" t="s">
        <v>131</v>
      </c>
      <c r="B51" s="415"/>
      <c r="C51" s="26"/>
      <c r="D51" s="31" t="s">
        <v>890</v>
      </c>
      <c r="E51" s="41"/>
      <c r="F51" s="26"/>
    </row>
    <row r="52" spans="1:7" s="5" customFormat="1">
      <c r="A52" s="311" t="s">
        <v>127</v>
      </c>
      <c r="B52" s="311"/>
      <c r="D52" s="5" t="s">
        <v>1273</v>
      </c>
      <c r="E52" s="26"/>
      <c r="F52" s="26"/>
    </row>
    <row r="53" spans="1:7" s="5" customFormat="1">
      <c r="A53" s="311" t="s">
        <v>502</v>
      </c>
      <c r="B53" s="311"/>
      <c r="D53" s="5" t="s">
        <v>1274</v>
      </c>
      <c r="E53" s="26"/>
      <c r="F53" s="26"/>
    </row>
    <row r="54" spans="1:7" s="5" customFormat="1">
      <c r="A54" s="311" t="s">
        <v>128</v>
      </c>
      <c r="B54" s="311"/>
      <c r="E54" s="26"/>
      <c r="F54" s="26"/>
    </row>
    <row r="55" spans="1:7" s="5" customFormat="1">
      <c r="A55" s="311" t="s">
        <v>129</v>
      </c>
      <c r="B55" s="311"/>
      <c r="D55" s="5" t="s">
        <v>1275</v>
      </c>
      <c r="E55" s="26"/>
      <c r="F55" s="26"/>
    </row>
    <row r="56" spans="1:7" s="5" customFormat="1">
      <c r="A56" s="311" t="s">
        <v>130</v>
      </c>
      <c r="B56" s="311"/>
      <c r="D56" s="5" t="s">
        <v>894</v>
      </c>
      <c r="E56" s="26"/>
      <c r="F56" s="26"/>
      <c r="G56"/>
    </row>
    <row r="57" spans="1:7" s="5" customFormat="1">
      <c r="A57" s="414"/>
      <c r="B57" s="311"/>
      <c r="D57" s="5" t="s">
        <v>891</v>
      </c>
      <c r="E57" s="26"/>
      <c r="F57" s="26"/>
      <c r="G57"/>
    </row>
    <row r="58" spans="1:7">
      <c r="A58" s="311" t="s">
        <v>132</v>
      </c>
      <c r="B58" s="311"/>
      <c r="D58" s="5" t="s">
        <v>1276</v>
      </c>
    </row>
    <row r="59" spans="1:7">
      <c r="A59" s="311" t="s">
        <v>71</v>
      </c>
      <c r="B59" s="311"/>
    </row>
    <row r="60" spans="1:7">
      <c r="A60" s="311" t="s">
        <v>72</v>
      </c>
      <c r="B60" s="311"/>
      <c r="D60" s="5" t="s">
        <v>1195</v>
      </c>
    </row>
    <row r="61" spans="1:7">
      <c r="A61" s="311" t="s">
        <v>73</v>
      </c>
      <c r="B61" s="311"/>
      <c r="D61" s="5" t="s">
        <v>988</v>
      </c>
    </row>
    <row r="62" spans="1:7">
      <c r="A62" s="311"/>
      <c r="B62" s="311"/>
    </row>
    <row r="63" spans="1:7">
      <c r="A63" s="311" t="s">
        <v>74</v>
      </c>
      <c r="B63" s="311"/>
      <c r="D63" s="5" t="s">
        <v>1143</v>
      </c>
    </row>
    <row r="64" spans="1:7">
      <c r="A64" s="311" t="s">
        <v>75</v>
      </c>
      <c r="B64" s="311"/>
      <c r="D64" s="5" t="s">
        <v>1144</v>
      </c>
    </row>
    <row r="65" spans="1:7">
      <c r="A65" s="311" t="s">
        <v>76</v>
      </c>
      <c r="B65" s="311"/>
    </row>
    <row r="66" spans="1:7">
      <c r="A66" s="311" t="s">
        <v>126</v>
      </c>
      <c r="B66" s="311"/>
      <c r="D66" s="5" t="s">
        <v>1193</v>
      </c>
      <c r="G66" s="5"/>
    </row>
    <row r="67" spans="1:7">
      <c r="A67" s="311" t="s">
        <v>77</v>
      </c>
      <c r="B67" s="311"/>
      <c r="D67" s="5" t="s">
        <v>1194</v>
      </c>
      <c r="G67" s="5"/>
    </row>
    <row r="68" spans="1:7" s="5" customFormat="1">
      <c r="A68" s="311"/>
      <c r="B68" s="311"/>
      <c r="E68" s="26"/>
      <c r="F68" s="26"/>
    </row>
    <row r="69" spans="1:7" s="5" customFormat="1">
      <c r="A69" s="311" t="s">
        <v>78</v>
      </c>
      <c r="B69" s="311"/>
      <c r="D69" s="5" t="s">
        <v>1277</v>
      </c>
      <c r="E69" s="26"/>
      <c r="F69" s="26"/>
    </row>
    <row r="70" spans="1:7" s="5" customFormat="1">
      <c r="A70" s="311" t="s">
        <v>79</v>
      </c>
      <c r="B70" s="311"/>
      <c r="E70" s="26"/>
      <c r="F70" s="26"/>
    </row>
    <row r="71" spans="1:7" s="5" customFormat="1">
      <c r="A71" s="311"/>
      <c r="B71" s="311"/>
      <c r="D71" s="18" t="s">
        <v>1230</v>
      </c>
      <c r="E71" s="26"/>
      <c r="F71" s="26"/>
    </row>
    <row r="72" spans="1:7" s="5" customFormat="1">
      <c r="A72" s="311" t="s">
        <v>102</v>
      </c>
      <c r="B72" s="311"/>
      <c r="D72" s="18" t="s">
        <v>1231</v>
      </c>
      <c r="E72" s="26"/>
      <c r="F72" s="26"/>
    </row>
    <row r="73" spans="1:7" s="5" customFormat="1">
      <c r="A73" s="311" t="s">
        <v>103</v>
      </c>
      <c r="B73" s="311"/>
      <c r="E73" s="26"/>
      <c r="F73" s="26"/>
    </row>
    <row r="74" spans="1:7" s="5" customFormat="1">
      <c r="A74" s="311" t="s">
        <v>104</v>
      </c>
      <c r="B74" s="311"/>
      <c r="D74" s="5" t="s">
        <v>1278</v>
      </c>
      <c r="E74" s="26"/>
      <c r="F74" s="26"/>
    </row>
    <row r="75" spans="1:7" s="5" customFormat="1">
      <c r="A75" s="311" t="s">
        <v>114</v>
      </c>
      <c r="B75" s="311"/>
      <c r="D75" s="18" t="s">
        <v>1279</v>
      </c>
      <c r="E75" s="26"/>
      <c r="F75" s="26"/>
    </row>
    <row r="76" spans="1:7" s="5" customFormat="1">
      <c r="A76" s="311" t="s">
        <v>586</v>
      </c>
      <c r="B76" s="311"/>
      <c r="D76" s="18" t="s">
        <v>1280</v>
      </c>
      <c r="E76" s="26"/>
      <c r="F76" s="26"/>
      <c r="G76"/>
    </row>
    <row r="77" spans="1:7" s="5" customFormat="1">
      <c r="A77" s="311"/>
      <c r="B77" s="311"/>
      <c r="D77" s="18"/>
      <c r="E77" s="26"/>
      <c r="F77" s="26"/>
      <c r="G77"/>
    </row>
    <row r="78" spans="1:7">
      <c r="A78" s="311" t="s">
        <v>115</v>
      </c>
      <c r="B78" s="311"/>
      <c r="D78" s="5" t="s">
        <v>1196</v>
      </c>
    </row>
    <row r="79" spans="1:7">
      <c r="A79" s="311" t="s">
        <v>116</v>
      </c>
      <c r="B79" s="311"/>
    </row>
    <row r="80" spans="1:7">
      <c r="A80" s="311" t="s">
        <v>503</v>
      </c>
      <c r="B80" s="311"/>
      <c r="D80" s="5" t="s">
        <v>1281</v>
      </c>
    </row>
    <row r="81" spans="1:9">
      <c r="A81" s="311" t="s">
        <v>504</v>
      </c>
      <c r="B81" s="311"/>
      <c r="D81" s="5" t="s">
        <v>1282</v>
      </c>
    </row>
    <row r="82" spans="1:9">
      <c r="A82" s="311" t="s">
        <v>505</v>
      </c>
      <c r="B82" s="311"/>
      <c r="D82" s="5" t="s">
        <v>1283</v>
      </c>
      <c r="E82" s="5"/>
      <c r="F82" s="5"/>
      <c r="G82" s="5"/>
    </row>
    <row r="83" spans="1:9">
      <c r="A83" s="311"/>
      <c r="B83" s="311"/>
    </row>
    <row r="84" spans="1:9" s="5" customFormat="1">
      <c r="A84" s="311" t="s">
        <v>506</v>
      </c>
      <c r="B84" s="311"/>
      <c r="D84" s="5" t="s">
        <v>1284</v>
      </c>
    </row>
    <row r="85" spans="1:9" s="5" customFormat="1">
      <c r="A85" s="311" t="s">
        <v>507</v>
      </c>
      <c r="B85" s="311"/>
    </row>
    <row r="86" spans="1:9" s="5" customFormat="1" ht="18">
      <c r="A86" s="311" t="s">
        <v>508</v>
      </c>
      <c r="B86" s="311"/>
      <c r="D86" s="473" t="s">
        <v>1075</v>
      </c>
      <c r="E86" s="473"/>
      <c r="F86" s="473"/>
      <c r="G86" s="473"/>
    </row>
    <row r="87" spans="1:9" s="5" customFormat="1">
      <c r="A87" s="311"/>
      <c r="B87" s="311"/>
    </row>
    <row r="88" spans="1:9">
      <c r="A88" s="18" t="s">
        <v>343</v>
      </c>
      <c r="B88" s="18"/>
      <c r="C88" s="18"/>
      <c r="D88" s="5" t="s">
        <v>1076</v>
      </c>
      <c r="E88" s="5"/>
      <c r="F88" s="5"/>
      <c r="G88" s="5"/>
      <c r="H88" s="5"/>
      <c r="I88" s="5"/>
    </row>
    <row r="89" spans="1:9">
      <c r="A89" s="82" t="s">
        <v>324</v>
      </c>
      <c r="B89" s="18"/>
      <c r="C89" s="18" t="s">
        <v>323</v>
      </c>
      <c r="D89" s="5" t="s">
        <v>1077</v>
      </c>
      <c r="E89" s="5"/>
      <c r="F89" s="5"/>
      <c r="G89" s="5"/>
      <c r="H89" s="5"/>
      <c r="I89" s="5"/>
    </row>
    <row r="90" spans="1:9">
      <c r="A90" s="83" t="s">
        <v>325</v>
      </c>
      <c r="B90" s="18"/>
      <c r="C90" s="18" t="s">
        <v>340</v>
      </c>
      <c r="D90" s="132" t="s">
        <v>1078</v>
      </c>
      <c r="E90" s="5"/>
      <c r="F90" s="5"/>
      <c r="G90" s="5"/>
      <c r="H90" s="5"/>
      <c r="I90" s="5"/>
    </row>
    <row r="91" spans="1:9">
      <c r="A91" s="83" t="s">
        <v>326</v>
      </c>
      <c r="B91" s="18"/>
      <c r="C91" s="18" t="s">
        <v>340</v>
      </c>
      <c r="D91" s="144" t="s">
        <v>1079</v>
      </c>
      <c r="E91" s="5"/>
      <c r="F91" s="5"/>
      <c r="G91" s="5"/>
      <c r="H91" s="5"/>
      <c r="I91" s="5"/>
    </row>
    <row r="92" spans="1:9">
      <c r="A92" s="83" t="s">
        <v>327</v>
      </c>
      <c r="B92" s="18"/>
      <c r="C92" s="18" t="s">
        <v>341</v>
      </c>
      <c r="E92" s="5"/>
      <c r="F92" s="5"/>
      <c r="G92" s="5"/>
      <c r="H92" s="5"/>
      <c r="I92" s="5"/>
    </row>
    <row r="93" spans="1:9">
      <c r="A93" s="83" t="s">
        <v>51</v>
      </c>
      <c r="B93" s="18"/>
      <c r="C93" s="18" t="s">
        <v>341</v>
      </c>
      <c r="D93" s="5" t="s">
        <v>1069</v>
      </c>
      <c r="E93" s="5"/>
      <c r="F93" s="5"/>
      <c r="G93" s="5"/>
      <c r="H93" s="5"/>
      <c r="I93" s="5"/>
    </row>
    <row r="94" spans="1:9">
      <c r="A94" s="83" t="s">
        <v>52</v>
      </c>
      <c r="B94" s="18"/>
      <c r="C94" s="18" t="s">
        <v>342</v>
      </c>
      <c r="D94" s="5" t="s">
        <v>1065</v>
      </c>
      <c r="E94" s="5"/>
      <c r="F94" s="472" t="s">
        <v>1082</v>
      </c>
      <c r="G94" s="472"/>
      <c r="H94" s="5"/>
      <c r="I94" s="5"/>
    </row>
    <row r="95" spans="1:9">
      <c r="A95" s="83" t="s">
        <v>53</v>
      </c>
      <c r="B95" s="18"/>
      <c r="C95" s="18" t="s">
        <v>340</v>
      </c>
      <c r="D95" s="5" t="s">
        <v>1066</v>
      </c>
      <c r="E95" s="5"/>
      <c r="F95" s="472"/>
      <c r="G95" s="472"/>
      <c r="H95" s="5"/>
      <c r="I95" s="5"/>
    </row>
    <row r="96" spans="1:9">
      <c r="A96" s="83" t="s">
        <v>328</v>
      </c>
      <c r="B96" s="18"/>
      <c r="C96" s="18" t="s">
        <v>341</v>
      </c>
      <c r="D96" s="5" t="s">
        <v>1068</v>
      </c>
      <c r="E96" s="26" t="s">
        <v>1081</v>
      </c>
      <c r="F96" s="472"/>
      <c r="G96" s="472"/>
      <c r="H96" s="5"/>
      <c r="I96" s="5"/>
    </row>
    <row r="97" spans="1:9">
      <c r="A97" s="83" t="s">
        <v>329</v>
      </c>
      <c r="B97" s="18"/>
      <c r="C97" s="18" t="s">
        <v>341</v>
      </c>
      <c r="D97" s="5" t="s">
        <v>1067</v>
      </c>
      <c r="E97" s="5"/>
      <c r="F97" s="472"/>
      <c r="G97" s="472"/>
      <c r="H97" s="5"/>
      <c r="I97" s="5"/>
    </row>
    <row r="98" spans="1:9">
      <c r="A98" s="83" t="s">
        <v>330</v>
      </c>
      <c r="B98" s="18"/>
      <c r="C98" s="18" t="s">
        <v>342</v>
      </c>
      <c r="E98" s="5"/>
      <c r="F98" s="472"/>
      <c r="G98" s="472"/>
      <c r="H98" s="5"/>
      <c r="I98" s="5"/>
    </row>
    <row r="99" spans="1:9">
      <c r="A99" s="18"/>
      <c r="B99" s="311"/>
      <c r="D99" s="5" t="s">
        <v>1070</v>
      </c>
      <c r="E99" s="5"/>
      <c r="F99" s="472"/>
      <c r="G99" s="472"/>
      <c r="H99" s="5"/>
      <c r="I99" s="5"/>
    </row>
    <row r="100" spans="1:9">
      <c r="A100" s="311"/>
      <c r="B100" s="311"/>
      <c r="D100" s="5" t="s">
        <v>1066</v>
      </c>
      <c r="E100" s="5"/>
      <c r="F100" s="472"/>
      <c r="G100" s="472"/>
      <c r="H100" s="5"/>
      <c r="I100" s="5"/>
    </row>
    <row r="101" spans="1:9">
      <c r="A101" s="311"/>
      <c r="B101" s="311"/>
      <c r="D101" s="5" t="s">
        <v>1067</v>
      </c>
      <c r="E101" s="5"/>
      <c r="F101" s="472"/>
      <c r="G101" s="472"/>
      <c r="H101" s="5"/>
      <c r="I101" s="5"/>
    </row>
    <row r="102" spans="1:9">
      <c r="A102" s="311"/>
      <c r="B102" s="311"/>
      <c r="E102" s="5"/>
      <c r="F102" s="5"/>
      <c r="G102" s="5"/>
      <c r="H102" s="5"/>
      <c r="I102" s="5"/>
    </row>
    <row r="103" spans="1:9">
      <c r="A103" s="311"/>
      <c r="B103" s="311"/>
      <c r="D103" s="5" t="s">
        <v>1071</v>
      </c>
      <c r="E103" s="5"/>
      <c r="F103" s="5"/>
      <c r="G103" s="5"/>
      <c r="H103" s="5"/>
      <c r="I103" s="5"/>
    </row>
    <row r="104" spans="1:9">
      <c r="A104" s="311"/>
      <c r="B104" s="311"/>
      <c r="D104" s="5" t="s">
        <v>1080</v>
      </c>
      <c r="E104" s="5"/>
      <c r="F104" s="5"/>
      <c r="G104" s="5"/>
      <c r="H104" s="5"/>
      <c r="I104" s="5"/>
    </row>
    <row r="105" spans="1:9">
      <c r="A105" s="311"/>
      <c r="B105" s="311"/>
      <c r="D105" s="5" t="s">
        <v>1068</v>
      </c>
      <c r="E105" s="5"/>
      <c r="F105" s="5"/>
      <c r="G105" s="5"/>
      <c r="H105" s="5"/>
      <c r="I105" s="5"/>
    </row>
    <row r="106" spans="1:9">
      <c r="A106" s="311"/>
      <c r="B106" s="311"/>
      <c r="D106" s="5" t="s">
        <v>1072</v>
      </c>
      <c r="E106" s="5"/>
      <c r="F106" s="5"/>
      <c r="G106" s="5"/>
      <c r="H106" s="5"/>
      <c r="I106" s="5"/>
    </row>
    <row r="107" spans="1:9">
      <c r="A107" s="311"/>
      <c r="B107" s="311"/>
      <c r="E107" s="5"/>
      <c r="F107" s="5"/>
      <c r="G107" s="5"/>
      <c r="H107" s="5"/>
      <c r="I107" s="5"/>
    </row>
    <row r="108" spans="1:9">
      <c r="A108" s="311"/>
      <c r="B108" s="311"/>
      <c r="D108" s="268" t="s">
        <v>1073</v>
      </c>
      <c r="E108" s="5"/>
      <c r="F108" s="5"/>
      <c r="G108" s="5"/>
      <c r="H108" s="5"/>
      <c r="I108" s="5"/>
    </row>
    <row r="109" spans="1:9">
      <c r="A109" s="311"/>
      <c r="B109" s="311"/>
      <c r="D109" s="5" t="s">
        <v>1080</v>
      </c>
      <c r="E109" s="5"/>
      <c r="F109" s="5"/>
      <c r="G109" s="5"/>
      <c r="H109" s="5"/>
      <c r="I109" s="5"/>
    </row>
    <row r="110" spans="1:9">
      <c r="A110" s="311"/>
      <c r="B110" s="311"/>
      <c r="G110" s="5"/>
      <c r="H110" s="5"/>
      <c r="I110" s="5"/>
    </row>
    <row r="111" spans="1:9">
      <c r="A111" s="311"/>
      <c r="B111" s="311"/>
      <c r="G111" s="5"/>
      <c r="H111" s="5"/>
      <c r="I111" s="5"/>
    </row>
    <row r="112" spans="1:9">
      <c r="A112" s="311"/>
      <c r="B112" s="311"/>
      <c r="D112" s="5" t="s">
        <v>1083</v>
      </c>
      <c r="G112" s="5"/>
      <c r="H112" s="5"/>
      <c r="I112" s="5"/>
    </row>
    <row r="113" spans="1:9" ht="15" customHeight="1">
      <c r="A113" s="311"/>
      <c r="B113" s="311"/>
      <c r="D113" s="5" t="s">
        <v>1084</v>
      </c>
      <c r="G113" s="5"/>
      <c r="H113" s="5"/>
      <c r="I113" s="5"/>
    </row>
    <row r="114" spans="1:9" ht="15" customHeight="1">
      <c r="A114" s="311"/>
      <c r="B114" s="311"/>
      <c r="D114" s="5" t="s">
        <v>1085</v>
      </c>
      <c r="G114" s="5"/>
      <c r="H114" s="5"/>
      <c r="I114" s="5"/>
    </row>
    <row r="115" spans="1:9">
      <c r="A115" s="311"/>
      <c r="B115" s="311"/>
      <c r="D115" s="5" t="s">
        <v>1086</v>
      </c>
      <c r="G115" s="5"/>
      <c r="H115" s="5"/>
      <c r="I115" s="5"/>
    </row>
    <row r="116" spans="1:9">
      <c r="A116" s="311"/>
      <c r="B116" s="311"/>
      <c r="G116" s="5"/>
      <c r="H116" s="5"/>
      <c r="I116" s="5"/>
    </row>
    <row r="117" spans="1:9">
      <c r="A117" s="311"/>
      <c r="B117" s="311"/>
      <c r="D117" s="5" t="s">
        <v>1088</v>
      </c>
      <c r="G117" s="5"/>
      <c r="H117" s="5"/>
      <c r="I117" s="5"/>
    </row>
    <row r="118" spans="1:9">
      <c r="A118" s="311"/>
      <c r="B118" s="311"/>
      <c r="D118" s="5" t="s">
        <v>1089</v>
      </c>
      <c r="G118" s="5"/>
      <c r="H118" s="5"/>
      <c r="I118" s="5"/>
    </row>
    <row r="119" spans="1:9">
      <c r="A119" s="311"/>
      <c r="B119" s="311"/>
      <c r="D119" s="5" t="s">
        <v>1090</v>
      </c>
      <c r="G119" s="5"/>
      <c r="H119" s="5"/>
      <c r="I119" s="5"/>
    </row>
    <row r="120" spans="1:9">
      <c r="A120" s="311"/>
      <c r="B120" s="311"/>
      <c r="G120" s="5"/>
      <c r="H120" s="5"/>
      <c r="I120" s="5"/>
    </row>
    <row r="121" spans="1:9">
      <c r="A121" s="311"/>
      <c r="B121" s="311"/>
      <c r="G121" s="5"/>
      <c r="H121" s="5"/>
      <c r="I121" s="5"/>
    </row>
    <row r="122" spans="1:9" ht="15" customHeight="1">
      <c r="A122" s="311"/>
      <c r="B122" s="311"/>
    </row>
    <row r="123" spans="1:9">
      <c r="A123" s="311"/>
      <c r="B123" s="311"/>
    </row>
    <row r="124" spans="1:9" ht="15" customHeight="1">
      <c r="A124" s="311"/>
      <c r="B124" s="311"/>
      <c r="D124" s="2" t="s">
        <v>978</v>
      </c>
      <c r="E124" s="8"/>
      <c r="F124" s="8"/>
      <c r="G124" s="8"/>
      <c r="H124" s="8"/>
      <c r="I124" s="8"/>
    </row>
    <row r="125" spans="1:9">
      <c r="A125" s="311"/>
      <c r="B125" s="311"/>
      <c r="D125" s="5" t="s">
        <v>872</v>
      </c>
      <c r="E125" s="5"/>
      <c r="F125" s="5"/>
      <c r="I125" s="5"/>
    </row>
    <row r="126" spans="1:9">
      <c r="A126" s="311"/>
      <c r="B126" s="311"/>
      <c r="D126" s="132" t="s">
        <v>836</v>
      </c>
      <c r="E126" s="5"/>
      <c r="F126" s="5"/>
      <c r="I126" s="5"/>
    </row>
    <row r="127" spans="1:9">
      <c r="A127" s="311"/>
      <c r="B127" s="311"/>
      <c r="D127" s="5" t="s">
        <v>824</v>
      </c>
      <c r="E127" s="5" t="s">
        <v>825</v>
      </c>
      <c r="F127" s="5" t="s">
        <v>826</v>
      </c>
      <c r="I127" s="5"/>
    </row>
    <row r="128" spans="1:9">
      <c r="A128" s="311"/>
      <c r="B128" s="311"/>
      <c r="D128" s="5" t="s">
        <v>572</v>
      </c>
      <c r="E128" s="5">
        <v>11</v>
      </c>
      <c r="F128" s="5" t="s">
        <v>827</v>
      </c>
      <c r="G128" s="5"/>
    </row>
    <row r="129" spans="1:6">
      <c r="A129" s="311"/>
      <c r="B129" s="311"/>
      <c r="E129" s="5"/>
      <c r="F129" s="5"/>
    </row>
    <row r="130" spans="1:6">
      <c r="A130" s="311"/>
      <c r="B130" s="311"/>
      <c r="D130" s="5" t="s">
        <v>569</v>
      </c>
      <c r="E130" s="5">
        <v>325</v>
      </c>
      <c r="F130" s="5" t="s">
        <v>828</v>
      </c>
    </row>
    <row r="131" spans="1:6">
      <c r="A131" s="311"/>
      <c r="B131" s="311"/>
      <c r="E131" s="5">
        <v>326</v>
      </c>
      <c r="F131" s="5" t="s">
        <v>829</v>
      </c>
    </row>
    <row r="132" spans="1:6">
      <c r="A132" s="311"/>
      <c r="B132" s="311"/>
      <c r="E132" s="5"/>
      <c r="F132" s="5"/>
    </row>
    <row r="133" spans="1:6">
      <c r="A133" s="311"/>
      <c r="B133" s="311"/>
      <c r="D133" s="5" t="s">
        <v>830</v>
      </c>
      <c r="E133" s="5">
        <v>327310</v>
      </c>
      <c r="F133" s="5" t="s">
        <v>831</v>
      </c>
    </row>
    <row r="134" spans="1:6">
      <c r="A134" s="311"/>
      <c r="B134" s="311"/>
      <c r="E134" s="5">
        <v>327410</v>
      </c>
      <c r="F134" s="5" t="s">
        <v>832</v>
      </c>
    </row>
    <row r="135" spans="1:6">
      <c r="A135" s="311"/>
      <c r="B135" s="311"/>
      <c r="E135" s="5"/>
      <c r="F135" s="5"/>
    </row>
    <row r="136" spans="1:6">
      <c r="A136" s="311"/>
      <c r="B136" s="311"/>
      <c r="D136" s="5" t="s">
        <v>833</v>
      </c>
      <c r="E136" s="5">
        <v>331110</v>
      </c>
      <c r="F136" s="5" t="s">
        <v>834</v>
      </c>
    </row>
    <row r="137" spans="1:6">
      <c r="D137" s="3"/>
      <c r="E137" s="5">
        <v>3312</v>
      </c>
      <c r="F137" s="5" t="s">
        <v>835</v>
      </c>
    </row>
    <row r="138" spans="1:6">
      <c r="E138" s="146"/>
      <c r="F138" s="147"/>
    </row>
    <row r="139" spans="1:6">
      <c r="E139" s="5"/>
      <c r="F139" s="5"/>
    </row>
    <row r="140" spans="1:6">
      <c r="D140" s="5" t="s">
        <v>570</v>
      </c>
      <c r="E140" s="5">
        <v>212111</v>
      </c>
      <c r="F140" t="s">
        <v>868</v>
      </c>
    </row>
    <row r="141" spans="1:6">
      <c r="E141" s="5">
        <v>212112</v>
      </c>
      <c r="F141" s="132" t="s">
        <v>866</v>
      </c>
    </row>
    <row r="142" spans="1:6">
      <c r="E142" s="5"/>
      <c r="F142"/>
    </row>
    <row r="143" spans="1:6">
      <c r="D143" t="s">
        <v>871</v>
      </c>
      <c r="E143">
        <v>211111</v>
      </c>
      <c r="F143" t="s">
        <v>873</v>
      </c>
    </row>
    <row r="144" spans="1:6">
      <c r="D144"/>
      <c r="E144">
        <v>211112</v>
      </c>
      <c r="F144" t="s">
        <v>874</v>
      </c>
    </row>
    <row r="145" spans="4:6">
      <c r="D145"/>
      <c r="E145">
        <v>324110</v>
      </c>
      <c r="F145" t="s">
        <v>875</v>
      </c>
    </row>
    <row r="146" spans="4:6">
      <c r="D146"/>
      <c r="E146">
        <v>324121</v>
      </c>
      <c r="F146" t="s">
        <v>876</v>
      </c>
    </row>
    <row r="147" spans="4:6">
      <c r="D147"/>
      <c r="E147">
        <v>324122</v>
      </c>
      <c r="F147" t="s">
        <v>877</v>
      </c>
    </row>
    <row r="148" spans="4:6">
      <c r="D148"/>
      <c r="E148" s="18">
        <v>324199</v>
      </c>
      <c r="F148" s="18" t="s">
        <v>1028</v>
      </c>
    </row>
    <row r="149" spans="4:6">
      <c r="D149"/>
      <c r="E149"/>
      <c r="F149"/>
    </row>
  </sheetData>
  <mergeCells count="2">
    <mergeCell ref="F94:G101"/>
    <mergeCell ref="D86:G86"/>
  </mergeCells>
  <hyperlinks>
    <hyperlink ref="G6" r:id="rId1"/>
    <hyperlink ref="G14" r:id="rId2"/>
    <hyperlink ref="G22" r:id="rId3"/>
    <hyperlink ref="G29" r:id="rId4"/>
    <hyperlink ref="D126" r:id="rId5"/>
    <hyperlink ref="F141" r:id="rId6"/>
    <hyperlink ref="D90" r:id="rId7" location="assumptions" display="https://www.eia.gov/consumption/manufacturing/data/2014/index.php?view=methodology_2014 - assumptions"/>
    <hyperlink ref="B13" r:id="rId8"/>
    <hyperlink ref="G15" r:id="rId9"/>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1"/>
  <sheetViews>
    <sheetView topLeftCell="A76" workbookViewId="0">
      <selection activeCell="B7" sqref="B7"/>
    </sheetView>
  </sheetViews>
  <sheetFormatPr defaultColWidth="10.6640625" defaultRowHeight="14.25"/>
  <sheetData>
    <row r="1" spans="1:35" s="5" customFormat="1">
      <c r="A1" s="5" t="s">
        <v>1009</v>
      </c>
    </row>
    <row r="2" spans="1:35" s="5" customFormat="1"/>
    <row r="3" spans="1:35">
      <c r="A3" s="1" t="s">
        <v>1002</v>
      </c>
    </row>
    <row r="4" spans="1:35">
      <c r="A4" t="s">
        <v>574</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c r="A5" t="s">
        <v>566</v>
      </c>
      <c r="B5">
        <v>36304218000000</v>
      </c>
      <c r="C5">
        <v>36839657000000</v>
      </c>
      <c r="D5">
        <v>37730251000000</v>
      </c>
      <c r="E5">
        <v>39683674000000</v>
      </c>
      <c r="F5">
        <v>41023956000000</v>
      </c>
      <c r="G5">
        <v>42006371000000</v>
      </c>
      <c r="H5">
        <v>42862801000000</v>
      </c>
      <c r="I5">
        <v>43639400000000</v>
      </c>
      <c r="J5">
        <v>44175003000000</v>
      </c>
      <c r="K5">
        <v>44640549000000</v>
      </c>
      <c r="L5">
        <v>44842300000000</v>
      </c>
      <c r="M5">
        <v>44885216000000</v>
      </c>
      <c r="N5">
        <v>44669285000000</v>
      </c>
      <c r="O5">
        <v>44355274000000</v>
      </c>
      <c r="P5">
        <v>44308514000000</v>
      </c>
      <c r="Q5">
        <v>44030666000000</v>
      </c>
      <c r="R5">
        <v>43890942000000</v>
      </c>
      <c r="S5">
        <v>43827396000000</v>
      </c>
      <c r="T5">
        <v>43594589000000</v>
      </c>
      <c r="U5">
        <v>43583344000000</v>
      </c>
      <c r="V5">
        <v>43802364000000</v>
      </c>
      <c r="W5">
        <v>43878529000000</v>
      </c>
      <c r="X5">
        <v>43881065000000</v>
      </c>
      <c r="Y5">
        <v>44107185000000</v>
      </c>
      <c r="Z5">
        <v>44414326000000</v>
      </c>
      <c r="AA5">
        <v>44660587000000</v>
      </c>
      <c r="AB5">
        <v>45096756000000</v>
      </c>
      <c r="AC5">
        <v>45498924000000</v>
      </c>
      <c r="AD5">
        <v>46015205000000</v>
      </c>
      <c r="AE5">
        <v>46387211000000</v>
      </c>
      <c r="AF5">
        <v>46886147000000</v>
      </c>
      <c r="AG5">
        <v>47384525000000</v>
      </c>
      <c r="AH5">
        <v>47895496000000</v>
      </c>
      <c r="AI5">
        <v>48464809000000</v>
      </c>
    </row>
    <row r="6" spans="1:35">
      <c r="A6" t="s">
        <v>567</v>
      </c>
      <c r="B6">
        <v>237109036354581.22</v>
      </c>
      <c r="C6">
        <v>237837700723222.91</v>
      </c>
      <c r="D6">
        <v>240656841330069.91</v>
      </c>
      <c r="E6">
        <v>247986206614984.72</v>
      </c>
      <c r="F6">
        <v>245214028319943.75</v>
      </c>
      <c r="G6">
        <v>242547877727839.91</v>
      </c>
      <c r="H6">
        <v>239297950925936</v>
      </c>
      <c r="I6">
        <v>234409182202541</v>
      </c>
      <c r="J6">
        <v>231833887170791.19</v>
      </c>
      <c r="K6">
        <v>227190917634574.72</v>
      </c>
      <c r="L6">
        <v>222898151276199.94</v>
      </c>
      <c r="M6">
        <v>224584658694072.91</v>
      </c>
      <c r="N6">
        <v>221590756654314</v>
      </c>
      <c r="O6">
        <v>221873249583249.25</v>
      </c>
      <c r="P6">
        <v>224044441522946.91</v>
      </c>
      <c r="Q6">
        <v>223070907066108.84</v>
      </c>
      <c r="R6">
        <v>221272830303024.94</v>
      </c>
      <c r="S6">
        <v>225515222977191.72</v>
      </c>
      <c r="T6">
        <v>224957707101389.56</v>
      </c>
      <c r="U6">
        <v>224807267452465.59</v>
      </c>
      <c r="V6">
        <v>228387568831514.22</v>
      </c>
      <c r="W6">
        <v>228989245711065.38</v>
      </c>
      <c r="X6">
        <v>228557695614403.63</v>
      </c>
      <c r="Y6">
        <v>231300796756182.63</v>
      </c>
      <c r="Z6">
        <v>231964611811057.09</v>
      </c>
      <c r="AA6">
        <v>231907488714458.5</v>
      </c>
      <c r="AB6">
        <v>234596876823997.09</v>
      </c>
      <c r="AC6">
        <v>236849651040297.16</v>
      </c>
      <c r="AD6">
        <v>240208015585485.13</v>
      </c>
      <c r="AE6">
        <v>241698693769987.63</v>
      </c>
      <c r="AF6">
        <v>243102917313724.53</v>
      </c>
      <c r="AG6">
        <v>243598313496851.94</v>
      </c>
      <c r="AH6">
        <v>243664272573995.19</v>
      </c>
      <c r="AI6">
        <v>244062519140793.28</v>
      </c>
    </row>
    <row r="7" spans="1:35">
      <c r="A7" t="s">
        <v>568</v>
      </c>
      <c r="B7">
        <v>204667007000000</v>
      </c>
      <c r="C7">
        <v>212931213000000</v>
      </c>
      <c r="D7">
        <v>210077042000000</v>
      </c>
      <c r="E7">
        <v>210687469000000</v>
      </c>
      <c r="F7">
        <v>208760605000000</v>
      </c>
      <c r="G7">
        <v>212422684000000</v>
      </c>
      <c r="H7">
        <v>215763184000000</v>
      </c>
      <c r="I7">
        <v>218736145000000</v>
      </c>
      <c r="J7">
        <v>221697205000000</v>
      </c>
      <c r="K7">
        <v>224004593000000</v>
      </c>
      <c r="L7">
        <v>223919586000000</v>
      </c>
      <c r="M7">
        <v>225889816000000</v>
      </c>
      <c r="N7">
        <v>226837997000000</v>
      </c>
      <c r="O7">
        <v>227353928000000</v>
      </c>
      <c r="P7">
        <v>228361435000000</v>
      </c>
      <c r="Q7">
        <v>229524872000000</v>
      </c>
      <c r="R7">
        <v>230615753000000</v>
      </c>
      <c r="S7">
        <v>231869431000000</v>
      </c>
      <c r="T7">
        <v>232850677000000</v>
      </c>
      <c r="U7">
        <v>233757156000000</v>
      </c>
      <c r="V7">
        <v>235382599000000</v>
      </c>
      <c r="W7">
        <v>236063904000000</v>
      </c>
      <c r="X7">
        <v>236247086000000</v>
      </c>
      <c r="Y7">
        <v>235589783000000</v>
      </c>
      <c r="Z7">
        <v>234676819000000</v>
      </c>
      <c r="AA7">
        <v>233654709000000</v>
      </c>
      <c r="AB7">
        <v>233125046000000</v>
      </c>
      <c r="AC7">
        <v>231978699000000</v>
      </c>
      <c r="AD7">
        <v>231700058000000</v>
      </c>
      <c r="AE7">
        <v>230501877000000</v>
      </c>
      <c r="AF7">
        <v>229860901000000</v>
      </c>
      <c r="AG7">
        <v>228844299000000</v>
      </c>
      <c r="AH7">
        <v>227977188000000</v>
      </c>
      <c r="AI7">
        <v>226712189000000</v>
      </c>
    </row>
    <row r="8" spans="1:35">
      <c r="A8" t="s">
        <v>569</v>
      </c>
      <c r="B8">
        <v>416971313000000</v>
      </c>
      <c r="C8">
        <v>415240936000000</v>
      </c>
      <c r="D8">
        <v>433124634000000</v>
      </c>
      <c r="E8">
        <v>448210266000000</v>
      </c>
      <c r="F8">
        <v>472180298000000</v>
      </c>
      <c r="G8">
        <v>488024658000000</v>
      </c>
      <c r="H8">
        <v>499042542000000</v>
      </c>
      <c r="I8">
        <v>512089905000000.06</v>
      </c>
      <c r="J8">
        <v>521358704000000</v>
      </c>
      <c r="K8">
        <v>525987793000000</v>
      </c>
      <c r="L8">
        <v>537978270999999.94</v>
      </c>
      <c r="M8">
        <v>544256287000000.06</v>
      </c>
      <c r="N8">
        <v>552693481000000</v>
      </c>
      <c r="O8">
        <v>551946472000000</v>
      </c>
      <c r="P8">
        <v>554095825000000</v>
      </c>
      <c r="Q8">
        <v>556028563999999.94</v>
      </c>
      <c r="R8">
        <v>556159911999999.94</v>
      </c>
      <c r="S8">
        <v>550595398000000.06</v>
      </c>
      <c r="T8">
        <v>549396301000000</v>
      </c>
      <c r="U8">
        <v>549866211000000</v>
      </c>
      <c r="V8">
        <v>545903015000000</v>
      </c>
      <c r="W8">
        <v>548524779999999.94</v>
      </c>
      <c r="X8">
        <v>546645507999999.94</v>
      </c>
      <c r="Y8">
        <v>542750000000000</v>
      </c>
      <c r="Z8">
        <v>540568236999999.94</v>
      </c>
      <c r="AA8">
        <v>538883728000000</v>
      </c>
      <c r="AB8">
        <v>531295043999999.94</v>
      </c>
      <c r="AC8">
        <v>528289246000000.06</v>
      </c>
      <c r="AD8">
        <v>523322998000000</v>
      </c>
      <c r="AE8">
        <v>519748840000000</v>
      </c>
      <c r="AF8">
        <v>515981688999999.94</v>
      </c>
      <c r="AG8">
        <v>515379456000000</v>
      </c>
      <c r="AH8">
        <v>508664337000000</v>
      </c>
      <c r="AI8">
        <v>504405304000000</v>
      </c>
    </row>
    <row r="9" spans="1:35">
      <c r="A9" t="s">
        <v>570</v>
      </c>
      <c r="B9">
        <v>81383502356935.734</v>
      </c>
      <c r="C9">
        <v>83106972966925.797</v>
      </c>
      <c r="D9">
        <v>89774934500968.453</v>
      </c>
      <c r="E9">
        <v>93121462855164.734</v>
      </c>
      <c r="F9">
        <v>95680679804700.031</v>
      </c>
      <c r="G9">
        <v>97482302971614.734</v>
      </c>
      <c r="H9">
        <v>98636406388747.844</v>
      </c>
      <c r="I9">
        <v>99946814919730.234</v>
      </c>
      <c r="J9">
        <v>101315105025745.25</v>
      </c>
      <c r="K9">
        <v>102578476348790.45</v>
      </c>
      <c r="L9">
        <v>102882225145291.05</v>
      </c>
      <c r="M9">
        <v>103004320141160.34</v>
      </c>
      <c r="N9">
        <v>103292563137349.77</v>
      </c>
      <c r="O9">
        <v>102866745335330.03</v>
      </c>
      <c r="P9">
        <v>102710804512454.61</v>
      </c>
      <c r="Q9">
        <v>102185087260585</v>
      </c>
      <c r="R9">
        <v>101889439144950.42</v>
      </c>
      <c r="S9">
        <v>101586509470551.86</v>
      </c>
      <c r="T9">
        <v>101424665429614.72</v>
      </c>
      <c r="U9">
        <v>101415238388746.8</v>
      </c>
      <c r="V9">
        <v>101377329119614.78</v>
      </c>
      <c r="W9">
        <v>101512218824021.42</v>
      </c>
      <c r="X9">
        <v>101571153434307.7</v>
      </c>
      <c r="Y9">
        <v>101516795682081.25</v>
      </c>
      <c r="Z9">
        <v>101445651572208.03</v>
      </c>
      <c r="AA9">
        <v>101282572350530.3</v>
      </c>
      <c r="AB9">
        <v>100962401061285.47</v>
      </c>
      <c r="AC9">
        <v>100882200805623.58</v>
      </c>
      <c r="AD9">
        <v>100766340511298.64</v>
      </c>
      <c r="AE9">
        <v>100651032831468.55</v>
      </c>
      <c r="AF9">
        <v>100552765234752.97</v>
      </c>
      <c r="AG9">
        <v>100545594241495.09</v>
      </c>
      <c r="AH9">
        <v>100372418194843.14</v>
      </c>
      <c r="AI9">
        <v>100449238000696.17</v>
      </c>
    </row>
    <row r="10" spans="1:35">
      <c r="A10" t="s">
        <v>571</v>
      </c>
      <c r="B10">
        <v>219369905167615.94</v>
      </c>
      <c r="C10">
        <v>220987711374488.88</v>
      </c>
      <c r="D10">
        <v>222604159791847</v>
      </c>
      <c r="E10">
        <v>224217892630175.53</v>
      </c>
      <c r="F10">
        <v>225826873205202.31</v>
      </c>
      <c r="G10">
        <v>227428385937897.69</v>
      </c>
      <c r="H10">
        <v>229019715249232.22</v>
      </c>
      <c r="I10">
        <v>230596787770661.41</v>
      </c>
      <c r="J10">
        <v>232156887923155.69</v>
      </c>
      <c r="K10">
        <v>233698657917200.38</v>
      </c>
      <c r="L10">
        <v>235224134437067.5</v>
      </c>
      <c r="M10">
        <v>236727207429940.63</v>
      </c>
      <c r="N10">
        <v>238205161316790.13</v>
      </c>
      <c r="O10">
        <v>239655280518586.34</v>
      </c>
      <c r="P10">
        <v>241076207245814.63</v>
      </c>
      <c r="Q10">
        <v>242465225919445.34</v>
      </c>
      <c r="R10">
        <v>243823015434235.88</v>
      </c>
      <c r="S10">
        <v>245148218000671.41</v>
      </c>
      <c r="T10">
        <v>246440833618752</v>
      </c>
      <c r="U10">
        <v>247702898972749.81</v>
      </c>
      <c r="V10">
        <v>248934414062664.81</v>
      </c>
      <c r="W10">
        <v>250137415572769.19</v>
      </c>
      <c r="X10">
        <v>251312582397820.38</v>
      </c>
      <c r="Y10">
        <v>252461272327333.19</v>
      </c>
      <c r="Z10">
        <v>253586200940337.13</v>
      </c>
      <c r="AA10">
        <v>254688726026347.03</v>
      </c>
      <c r="AB10">
        <v>255770884269635.09</v>
      </c>
      <c r="AC10">
        <v>256835391249230.84</v>
      </c>
      <c r="AD10">
        <v>257885641438921.31</v>
      </c>
      <c r="AE10">
        <v>258923671522978.69</v>
      </c>
      <c r="AF10">
        <v>259953554869947.31</v>
      </c>
      <c r="AG10">
        <v>260977328164099.34</v>
      </c>
      <c r="AH10">
        <v>261997706984464.41</v>
      </c>
      <c r="AI10">
        <v>263016728015314.69</v>
      </c>
    </row>
    <row r="11" spans="1:35">
      <c r="A11" t="s">
        <v>572</v>
      </c>
      <c r="B11">
        <v>157322937000000</v>
      </c>
      <c r="C11">
        <v>153701065000000</v>
      </c>
      <c r="D11">
        <v>151582672000000</v>
      </c>
      <c r="E11">
        <v>155691696000000</v>
      </c>
      <c r="F11">
        <v>159867950000000</v>
      </c>
      <c r="G11">
        <v>162802216000000</v>
      </c>
      <c r="H11">
        <v>165741440000000</v>
      </c>
      <c r="I11">
        <v>168311005000000</v>
      </c>
      <c r="J11">
        <v>170690598000000</v>
      </c>
      <c r="K11">
        <v>172382111000000</v>
      </c>
      <c r="L11">
        <v>173741119000000</v>
      </c>
      <c r="M11">
        <v>175297577000000</v>
      </c>
      <c r="N11">
        <v>176678528000000</v>
      </c>
      <c r="O11">
        <v>177273071000000</v>
      </c>
      <c r="P11">
        <v>178235260000000</v>
      </c>
      <c r="Q11">
        <v>179422104000000</v>
      </c>
      <c r="R11">
        <v>180387329000000</v>
      </c>
      <c r="S11">
        <v>181366425000000</v>
      </c>
      <c r="T11">
        <v>182407074000000</v>
      </c>
      <c r="U11">
        <v>183429657000000</v>
      </c>
      <c r="V11">
        <v>184569946000000</v>
      </c>
      <c r="W11">
        <v>185714401000000</v>
      </c>
      <c r="X11">
        <v>186758926000000</v>
      </c>
      <c r="Y11">
        <v>187737335000000</v>
      </c>
      <c r="Z11">
        <v>188739624000000</v>
      </c>
      <c r="AA11">
        <v>189846558000000</v>
      </c>
      <c r="AB11">
        <v>191029053000000</v>
      </c>
      <c r="AC11">
        <v>192297485000000</v>
      </c>
      <c r="AD11">
        <v>193690247000000</v>
      </c>
      <c r="AE11">
        <v>195154144000000</v>
      </c>
      <c r="AF11">
        <v>196645126000000</v>
      </c>
      <c r="AG11">
        <v>198225784000000</v>
      </c>
      <c r="AH11">
        <v>199785370000000</v>
      </c>
      <c r="AI11">
        <v>201231308000000</v>
      </c>
    </row>
    <row r="12" spans="1:35">
      <c r="A12" t="s">
        <v>573</v>
      </c>
      <c r="B12">
        <v>1876172070120867.5</v>
      </c>
      <c r="C12">
        <v>1877454732935362.5</v>
      </c>
      <c r="D12">
        <v>1883849454377114.5</v>
      </c>
      <c r="E12">
        <v>1952130811899675.5</v>
      </c>
      <c r="F12">
        <v>2008149901670154</v>
      </c>
      <c r="G12">
        <v>2043623939362647.8</v>
      </c>
      <c r="H12">
        <v>2077793526436084</v>
      </c>
      <c r="I12">
        <v>2113242531107067.3</v>
      </c>
      <c r="J12">
        <v>2150847587880307.3</v>
      </c>
      <c r="K12">
        <v>2183190771099434.5</v>
      </c>
      <c r="L12">
        <v>2210349894141441.5</v>
      </c>
      <c r="M12">
        <v>2241526485734826</v>
      </c>
      <c r="N12">
        <v>2267263027891546</v>
      </c>
      <c r="O12">
        <v>2280545303562834.5</v>
      </c>
      <c r="P12">
        <v>2297068958718784</v>
      </c>
      <c r="Q12">
        <v>2309812752753861.5</v>
      </c>
      <c r="R12">
        <v>2324271878117789</v>
      </c>
      <c r="S12">
        <v>2341924966551585</v>
      </c>
      <c r="T12">
        <v>2362692629850244</v>
      </c>
      <c r="U12">
        <v>2383792250186038</v>
      </c>
      <c r="V12">
        <v>2406367115986206</v>
      </c>
      <c r="W12">
        <v>2429742504892143.5</v>
      </c>
      <c r="X12">
        <v>2451282515553468.5</v>
      </c>
      <c r="Y12">
        <v>2473529447234403</v>
      </c>
      <c r="Z12">
        <v>2492738038676397.5</v>
      </c>
      <c r="AA12">
        <v>2513655964908664</v>
      </c>
      <c r="AB12">
        <v>2534083025845082.5</v>
      </c>
      <c r="AC12">
        <v>2557592171904848.5</v>
      </c>
      <c r="AD12">
        <v>2583793612464294.5</v>
      </c>
      <c r="AE12">
        <v>2614423076875565.5</v>
      </c>
      <c r="AF12">
        <v>2640262216581575</v>
      </c>
      <c r="AG12">
        <v>2665924445097553</v>
      </c>
      <c r="AH12">
        <v>2691399132246697</v>
      </c>
      <c r="AI12">
        <v>2717689593843196</v>
      </c>
    </row>
    <row r="14" spans="1:35">
      <c r="A14" s="1" t="s">
        <v>1003</v>
      </c>
    </row>
    <row r="15" spans="1:35">
      <c r="A15" s="18" t="s">
        <v>574</v>
      </c>
      <c r="B15" s="18">
        <v>2017</v>
      </c>
      <c r="C15" s="18">
        <v>2018</v>
      </c>
      <c r="D15" s="18">
        <v>2019</v>
      </c>
      <c r="E15" s="18">
        <v>2020</v>
      </c>
      <c r="F15" s="18">
        <v>2021</v>
      </c>
      <c r="G15" s="18">
        <v>2022</v>
      </c>
      <c r="H15" s="18">
        <v>2023</v>
      </c>
      <c r="I15" s="18">
        <v>2024</v>
      </c>
      <c r="J15" s="18">
        <v>2025</v>
      </c>
      <c r="K15" s="18">
        <v>2026</v>
      </c>
      <c r="L15" s="18">
        <v>2027</v>
      </c>
      <c r="M15" s="18">
        <v>2028</v>
      </c>
      <c r="N15" s="18">
        <v>2029</v>
      </c>
      <c r="O15" s="18">
        <v>2030</v>
      </c>
      <c r="P15" s="18">
        <v>2031</v>
      </c>
      <c r="Q15" s="18">
        <v>2032</v>
      </c>
      <c r="R15" s="18">
        <v>2033</v>
      </c>
      <c r="S15" s="18">
        <v>2034</v>
      </c>
      <c r="T15" s="18">
        <v>2035</v>
      </c>
      <c r="U15" s="18">
        <v>2036</v>
      </c>
      <c r="V15" s="18">
        <v>2037</v>
      </c>
      <c r="W15" s="18">
        <v>2038</v>
      </c>
      <c r="X15" s="18">
        <v>2039</v>
      </c>
      <c r="Y15" s="18">
        <v>2040</v>
      </c>
      <c r="Z15" s="18">
        <v>2041</v>
      </c>
      <c r="AA15" s="18">
        <v>2042</v>
      </c>
      <c r="AB15" s="18">
        <v>2043</v>
      </c>
      <c r="AC15" s="18">
        <v>2044</v>
      </c>
      <c r="AD15" s="18">
        <v>2045</v>
      </c>
      <c r="AE15" s="18">
        <v>2046</v>
      </c>
      <c r="AF15" s="18">
        <v>2047</v>
      </c>
      <c r="AG15" s="18">
        <v>2048</v>
      </c>
      <c r="AH15" s="18">
        <v>2049</v>
      </c>
      <c r="AI15" s="18">
        <v>2050</v>
      </c>
    </row>
    <row r="16" spans="1:35">
      <c r="A16" s="5" t="s">
        <v>566</v>
      </c>
      <c r="B16" s="21">
        <v>202504211000000</v>
      </c>
      <c r="C16" s="21">
        <v>186381592000000</v>
      </c>
      <c r="D16" s="21">
        <v>183940720000000</v>
      </c>
      <c r="E16" s="21">
        <v>189221619000000</v>
      </c>
      <c r="F16" s="21">
        <v>192869461000000</v>
      </c>
      <c r="G16" s="21">
        <v>193154953000000</v>
      </c>
      <c r="H16" s="21">
        <v>192749588000000</v>
      </c>
      <c r="I16" s="21">
        <v>191594162000000</v>
      </c>
      <c r="J16" s="21">
        <v>189772644000000</v>
      </c>
      <c r="K16" s="21">
        <v>186452652000000</v>
      </c>
      <c r="L16" s="21">
        <v>182238525000000</v>
      </c>
      <c r="M16" s="21">
        <v>177791443000000</v>
      </c>
      <c r="N16" s="21">
        <v>172120712000000</v>
      </c>
      <c r="O16" s="21">
        <v>165542328000000</v>
      </c>
      <c r="P16" s="21">
        <v>159201523000000</v>
      </c>
      <c r="Q16" s="21">
        <v>152522064000000</v>
      </c>
      <c r="R16" s="21">
        <v>145568405000000</v>
      </c>
      <c r="S16" s="21">
        <v>139609207000000</v>
      </c>
      <c r="T16" s="21">
        <v>132068176000000</v>
      </c>
      <c r="U16" s="21">
        <v>130075073000000</v>
      </c>
      <c r="V16" s="21">
        <v>128733673000000.02</v>
      </c>
      <c r="W16" s="21">
        <v>127419945000000</v>
      </c>
      <c r="X16" s="21">
        <v>125698441000000</v>
      </c>
      <c r="Y16" s="21">
        <v>124839058000000</v>
      </c>
      <c r="Z16" s="21">
        <v>124505783000000</v>
      </c>
      <c r="AA16" s="21">
        <v>123879913000000</v>
      </c>
      <c r="AB16" s="21">
        <v>123483086000000</v>
      </c>
      <c r="AC16" s="21">
        <v>123446220000000</v>
      </c>
      <c r="AD16" s="21">
        <v>123284119000000</v>
      </c>
      <c r="AE16" s="21">
        <v>123000565000000</v>
      </c>
      <c r="AF16" s="21">
        <v>122936325000000</v>
      </c>
      <c r="AG16" s="21">
        <v>122820938000000</v>
      </c>
      <c r="AH16" s="21">
        <v>122500694000000</v>
      </c>
      <c r="AI16" s="21">
        <v>122641449000000</v>
      </c>
    </row>
    <row r="17" spans="1:35">
      <c r="A17" s="5" t="s">
        <v>567</v>
      </c>
      <c r="B17" s="21">
        <v>24000000000000</v>
      </c>
      <c r="C17" s="21">
        <v>24000000000000</v>
      </c>
      <c r="D17" s="21">
        <v>24000000000000</v>
      </c>
      <c r="E17" s="21">
        <v>30971102000000</v>
      </c>
      <c r="F17" s="21">
        <v>30971102000000</v>
      </c>
      <c r="G17" s="21">
        <v>30971102000000</v>
      </c>
      <c r="H17" s="21">
        <v>30971102000000</v>
      </c>
      <c r="I17" s="21">
        <v>30971102000000</v>
      </c>
      <c r="J17" s="21">
        <v>30971102000000</v>
      </c>
      <c r="K17" s="21">
        <v>30971102000000</v>
      </c>
      <c r="L17" s="21">
        <v>30971102000000</v>
      </c>
      <c r="M17" s="21">
        <v>30971102000000</v>
      </c>
      <c r="N17" s="21">
        <v>30971102000000</v>
      </c>
      <c r="O17" s="21">
        <v>30971102000000</v>
      </c>
      <c r="P17" s="21">
        <v>30971102000000</v>
      </c>
      <c r="Q17" s="21">
        <v>30971102000000</v>
      </c>
      <c r="R17" s="21">
        <v>30971102000000</v>
      </c>
      <c r="S17" s="21">
        <v>30971102000000</v>
      </c>
      <c r="T17" s="21">
        <v>30971102000000</v>
      </c>
      <c r="U17" s="21">
        <v>30971102000000</v>
      </c>
      <c r="V17" s="21">
        <v>30971102000000</v>
      </c>
      <c r="W17" s="21">
        <v>30971102000000</v>
      </c>
      <c r="X17" s="21">
        <v>30971102000000</v>
      </c>
      <c r="Y17" s="21">
        <v>30971102000000</v>
      </c>
      <c r="Z17" s="21">
        <v>30971102000000</v>
      </c>
      <c r="AA17" s="21">
        <v>30971102000000</v>
      </c>
      <c r="AB17" s="21">
        <v>30971102000000</v>
      </c>
      <c r="AC17" s="21">
        <v>30971102000000</v>
      </c>
      <c r="AD17" s="21">
        <v>30971102000000</v>
      </c>
      <c r="AE17" s="21">
        <v>30971102000000</v>
      </c>
      <c r="AF17" s="21">
        <v>30971102000000</v>
      </c>
      <c r="AG17" s="21">
        <v>30971102000000</v>
      </c>
      <c r="AH17" s="21">
        <v>30971102000000</v>
      </c>
      <c r="AI17" s="21">
        <v>30971102000000</v>
      </c>
    </row>
    <row r="18" spans="1:35">
      <c r="A18" s="5" t="s">
        <v>568</v>
      </c>
      <c r="B18" s="21">
        <v>564085632000000</v>
      </c>
      <c r="C18" s="21">
        <v>619638367000000</v>
      </c>
      <c r="D18" s="21">
        <v>645347229000000</v>
      </c>
      <c r="E18" s="21">
        <v>592850342000000</v>
      </c>
      <c r="F18" s="21">
        <v>558790039000000</v>
      </c>
      <c r="G18" s="21">
        <v>549196045000000</v>
      </c>
      <c r="H18" s="21">
        <v>539846802000000</v>
      </c>
      <c r="I18" s="21">
        <v>539893066000000</v>
      </c>
      <c r="J18" s="21">
        <v>543461914000000</v>
      </c>
      <c r="K18" s="21">
        <v>545242492999999.94</v>
      </c>
      <c r="L18" s="21">
        <v>543128296000000</v>
      </c>
      <c r="M18" s="21">
        <v>546251892000000</v>
      </c>
      <c r="N18" s="21">
        <v>544832641999999.94</v>
      </c>
      <c r="O18" s="21">
        <v>547325195000000</v>
      </c>
      <c r="P18" s="21">
        <v>549583069000000</v>
      </c>
      <c r="Q18" s="21">
        <v>551061706999999.94</v>
      </c>
      <c r="R18" s="21">
        <v>553344238000000</v>
      </c>
      <c r="S18" s="21">
        <v>556391174000000</v>
      </c>
      <c r="T18" s="21">
        <v>556523987000000.06</v>
      </c>
      <c r="U18" s="21">
        <v>556228455000000.06</v>
      </c>
      <c r="V18" s="21">
        <v>559774108999999.94</v>
      </c>
      <c r="W18" s="21">
        <v>559814026000000</v>
      </c>
      <c r="X18" s="21">
        <v>557246094000000</v>
      </c>
      <c r="Y18" s="21">
        <v>551934448000000</v>
      </c>
      <c r="Z18" s="21">
        <v>549215332000000</v>
      </c>
      <c r="AA18" s="21">
        <v>543542296999999.94</v>
      </c>
      <c r="AB18" s="21">
        <v>539642822000000</v>
      </c>
      <c r="AC18" s="21">
        <v>534585815000000</v>
      </c>
      <c r="AD18" s="21">
        <v>532945007000000.06</v>
      </c>
      <c r="AE18" s="21">
        <v>527199463000000.06</v>
      </c>
      <c r="AF18" s="21">
        <v>524319091999999.94</v>
      </c>
      <c r="AG18" s="21">
        <v>519999146000000</v>
      </c>
      <c r="AH18" s="21">
        <v>516454163000000</v>
      </c>
      <c r="AI18" s="21">
        <v>512129395000000.06</v>
      </c>
    </row>
    <row r="19" spans="1:35">
      <c r="A19" s="5" t="s">
        <v>569</v>
      </c>
      <c r="B19" s="21">
        <v>56570049000000</v>
      </c>
      <c r="C19" s="21">
        <v>51747002000000</v>
      </c>
      <c r="D19" s="21">
        <v>51339401000000</v>
      </c>
      <c r="E19" s="21">
        <v>52970634000000</v>
      </c>
      <c r="F19" s="21">
        <v>54835670000000</v>
      </c>
      <c r="G19" s="21">
        <v>55827835000000</v>
      </c>
      <c r="H19" s="21">
        <v>56740891000000</v>
      </c>
      <c r="I19" s="21">
        <v>57742920000000</v>
      </c>
      <c r="J19" s="21">
        <v>58677006000000</v>
      </c>
      <c r="K19" s="21">
        <v>59118790000000</v>
      </c>
      <c r="L19" s="21">
        <v>59725822000000</v>
      </c>
      <c r="M19" s="21">
        <v>60208572000000</v>
      </c>
      <c r="N19" s="21">
        <v>60770485000000</v>
      </c>
      <c r="O19" s="21">
        <v>60744476000000</v>
      </c>
      <c r="P19" s="21">
        <v>60779655000000</v>
      </c>
      <c r="Q19" s="21">
        <v>60843513000000</v>
      </c>
      <c r="R19" s="21">
        <v>60885323000000</v>
      </c>
      <c r="S19" s="21">
        <v>60781647000000</v>
      </c>
      <c r="T19" s="21">
        <v>60809349000000</v>
      </c>
      <c r="U19" s="21">
        <v>60882607000000</v>
      </c>
      <c r="V19" s="21">
        <v>60824940000000</v>
      </c>
      <c r="W19" s="21">
        <v>60928326000000</v>
      </c>
      <c r="X19" s="21">
        <v>60945358000000</v>
      </c>
      <c r="Y19" s="21">
        <v>60951622000000</v>
      </c>
      <c r="Z19" s="21">
        <v>61010025000000</v>
      </c>
      <c r="AA19" s="21">
        <v>61082577000000</v>
      </c>
      <c r="AB19" s="21">
        <v>61016342000000</v>
      </c>
      <c r="AC19" s="21">
        <v>61058693000000</v>
      </c>
      <c r="AD19" s="21">
        <v>61054436000000</v>
      </c>
      <c r="AE19" s="21">
        <v>61082916000000</v>
      </c>
      <c r="AF19" s="21">
        <v>61110710000000</v>
      </c>
      <c r="AG19" s="21">
        <v>61218040000000</v>
      </c>
      <c r="AH19" s="21">
        <v>61174034000000</v>
      </c>
      <c r="AI19" s="21">
        <v>61196571000000</v>
      </c>
    </row>
    <row r="20" spans="1:35">
      <c r="A20" s="5" t="s">
        <v>570</v>
      </c>
      <c r="B20" s="21">
        <v>95212341000000</v>
      </c>
      <c r="C20" s="21">
        <v>88127350000000</v>
      </c>
      <c r="D20" s="21">
        <v>88576553000000</v>
      </c>
      <c r="E20" s="21">
        <v>91994438000000</v>
      </c>
      <c r="F20" s="21">
        <v>94937584000000</v>
      </c>
      <c r="G20" s="21">
        <v>97242813000000</v>
      </c>
      <c r="H20" s="21">
        <v>99381134000000</v>
      </c>
      <c r="I20" s="21">
        <v>101154480000000</v>
      </c>
      <c r="J20" s="21">
        <v>102915222000000</v>
      </c>
      <c r="K20" s="21">
        <v>104189178000000</v>
      </c>
      <c r="L20" s="21">
        <v>105156464000000</v>
      </c>
      <c r="M20" s="21">
        <v>106383987000000</v>
      </c>
      <c r="N20" s="21">
        <v>107856964000000</v>
      </c>
      <c r="O20" s="21">
        <v>108554565000000</v>
      </c>
      <c r="P20" s="21">
        <v>109316330000000</v>
      </c>
      <c r="Q20" s="21">
        <v>109691681000000</v>
      </c>
      <c r="R20" s="21">
        <v>110467270000000</v>
      </c>
      <c r="S20" s="21">
        <v>111324188000000</v>
      </c>
      <c r="T20" s="21">
        <v>112709061000000</v>
      </c>
      <c r="U20" s="21">
        <v>114044006000000</v>
      </c>
      <c r="V20" s="21">
        <v>115212891000000</v>
      </c>
      <c r="W20" s="21">
        <v>116422935000000</v>
      </c>
      <c r="X20" s="21">
        <v>117534821000000</v>
      </c>
      <c r="Y20" s="21">
        <v>118601341000000</v>
      </c>
      <c r="Z20" s="21">
        <v>119752274000000</v>
      </c>
      <c r="AA20" s="21">
        <v>120699753000000</v>
      </c>
      <c r="AB20" s="21">
        <v>121773109000000</v>
      </c>
      <c r="AC20" s="21">
        <v>122905029000000</v>
      </c>
      <c r="AD20" s="21">
        <v>124313988000000</v>
      </c>
      <c r="AE20" s="21">
        <v>125384682000000</v>
      </c>
      <c r="AF20" s="21">
        <v>126587036000000</v>
      </c>
      <c r="AG20" s="21">
        <v>127994614000000</v>
      </c>
      <c r="AH20" s="21">
        <v>129405105999999.98</v>
      </c>
      <c r="AI20" s="21">
        <v>130838196000000.02</v>
      </c>
    </row>
    <row r="21" spans="1:35">
      <c r="A21" s="5" t="s">
        <v>571</v>
      </c>
      <c r="B21" s="21">
        <v>0</v>
      </c>
      <c r="C21" s="21">
        <v>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row>
    <row r="22" spans="1:35">
      <c r="A22" s="5" t="s">
        <v>572</v>
      </c>
      <c r="B22" s="21">
        <v>0</v>
      </c>
      <c r="C22" s="21">
        <v>0</v>
      </c>
      <c r="D22" s="21">
        <v>0</v>
      </c>
      <c r="E22" s="21">
        <v>0</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0</v>
      </c>
      <c r="AD22" s="21">
        <v>0</v>
      </c>
      <c r="AE22" s="21">
        <v>0</v>
      </c>
      <c r="AF22" s="21">
        <v>0</v>
      </c>
      <c r="AG22" s="21">
        <v>0</v>
      </c>
      <c r="AH22" s="21">
        <v>0</v>
      </c>
      <c r="AI22" s="21">
        <v>0</v>
      </c>
    </row>
    <row r="23" spans="1:35">
      <c r="A23" s="5" t="s">
        <v>573</v>
      </c>
      <c r="B23" s="21">
        <v>173559766999999.88</v>
      </c>
      <c r="C23" s="21">
        <v>149822689000000.13</v>
      </c>
      <c r="D23" s="21">
        <v>140790097000000</v>
      </c>
      <c r="E23" s="21">
        <v>149103966999999.88</v>
      </c>
      <c r="F23" s="21">
        <v>157605246000000</v>
      </c>
      <c r="G23" s="21">
        <v>163114354000000</v>
      </c>
      <c r="H23" s="21">
        <v>168693584999999.88</v>
      </c>
      <c r="I23" s="21">
        <v>174340372000000</v>
      </c>
      <c r="J23" s="21">
        <v>177181213999999.88</v>
      </c>
      <c r="K23" s="21">
        <v>178348887000000</v>
      </c>
      <c r="L23" s="21">
        <v>179157893000000.13</v>
      </c>
      <c r="M23" s="21">
        <v>180200106000000</v>
      </c>
      <c r="N23" s="21">
        <v>180901197000000</v>
      </c>
      <c r="O23" s="21">
        <v>179998435999999.88</v>
      </c>
      <c r="P23" s="21">
        <v>179181423000000.13</v>
      </c>
      <c r="Q23" s="21">
        <v>178397034999999.88</v>
      </c>
      <c r="R23" s="21">
        <v>177804763999999.88</v>
      </c>
      <c r="S23" s="21">
        <v>177371784000000</v>
      </c>
      <c r="T23" s="21">
        <v>177076427000000</v>
      </c>
      <c r="U23" s="21">
        <v>176861858999999.88</v>
      </c>
      <c r="V23" s="21">
        <v>176720386999999.88</v>
      </c>
      <c r="W23" s="21">
        <v>176557768000000</v>
      </c>
      <c r="X23" s="21">
        <v>176369286000000</v>
      </c>
      <c r="Y23" s="21">
        <v>176086530999999.88</v>
      </c>
      <c r="Z23" s="21">
        <v>175791585999999.88</v>
      </c>
      <c r="AA23" s="21">
        <v>175478460000000.13</v>
      </c>
      <c r="AB23" s="21">
        <v>175306640999999.88</v>
      </c>
      <c r="AC23" s="21">
        <v>175185243000000</v>
      </c>
      <c r="AD23" s="21">
        <v>175269450000000</v>
      </c>
      <c r="AE23" s="21">
        <v>175354373999999.88</v>
      </c>
      <c r="AF23" s="21">
        <v>175546837000000</v>
      </c>
      <c r="AG23" s="21">
        <v>175803262000000</v>
      </c>
      <c r="AH23" s="21">
        <v>176108003000000</v>
      </c>
      <c r="AI23" s="21">
        <v>176409389000000</v>
      </c>
    </row>
    <row r="25" spans="1:35">
      <c r="A25" s="1" t="s">
        <v>1004</v>
      </c>
    </row>
    <row r="26" spans="1:35">
      <c r="A26" s="18" t="s">
        <v>574</v>
      </c>
      <c r="B26" s="18">
        <v>2017</v>
      </c>
      <c r="C26" s="18">
        <v>2018</v>
      </c>
      <c r="D26" s="18">
        <v>2019</v>
      </c>
      <c r="E26" s="18">
        <v>2020</v>
      </c>
      <c r="F26" s="18">
        <v>2021</v>
      </c>
      <c r="G26" s="18">
        <v>2022</v>
      </c>
      <c r="H26" s="18">
        <v>2023</v>
      </c>
      <c r="I26" s="18">
        <v>2024</v>
      </c>
      <c r="J26" s="18">
        <v>2025</v>
      </c>
      <c r="K26" s="18">
        <v>2026</v>
      </c>
      <c r="L26" s="18">
        <v>2027</v>
      </c>
      <c r="M26" s="18">
        <v>2028</v>
      </c>
      <c r="N26" s="18">
        <v>2029</v>
      </c>
      <c r="O26" s="18">
        <v>2030</v>
      </c>
      <c r="P26" s="18">
        <v>2031</v>
      </c>
      <c r="Q26" s="18">
        <v>2032</v>
      </c>
      <c r="R26" s="18">
        <v>2033</v>
      </c>
      <c r="S26" s="18">
        <v>2034</v>
      </c>
      <c r="T26" s="18">
        <v>2035</v>
      </c>
      <c r="U26" s="18">
        <v>2036</v>
      </c>
      <c r="V26" s="18">
        <v>2037</v>
      </c>
      <c r="W26" s="18">
        <v>2038</v>
      </c>
      <c r="X26" s="18">
        <v>2039</v>
      </c>
      <c r="Y26" s="18">
        <v>2040</v>
      </c>
      <c r="Z26" s="18">
        <v>2041</v>
      </c>
      <c r="AA26" s="18">
        <v>2042</v>
      </c>
      <c r="AB26" s="18">
        <v>2043</v>
      </c>
      <c r="AC26" s="18">
        <v>2044</v>
      </c>
      <c r="AD26" s="18">
        <v>2045</v>
      </c>
      <c r="AE26" s="18">
        <v>2046</v>
      </c>
      <c r="AF26" s="18">
        <v>2047</v>
      </c>
      <c r="AG26" s="18">
        <v>2048</v>
      </c>
      <c r="AH26" s="18">
        <v>2049</v>
      </c>
      <c r="AI26" s="18">
        <v>2050</v>
      </c>
    </row>
    <row r="27" spans="1:35">
      <c r="A27" s="5" t="s">
        <v>566</v>
      </c>
      <c r="B27" s="21">
        <v>16507082000000</v>
      </c>
      <c r="C27" s="21">
        <v>17370590000000</v>
      </c>
      <c r="D27" s="21">
        <v>17611717000000</v>
      </c>
      <c r="E27" s="21">
        <v>18483543000000</v>
      </c>
      <c r="F27" s="21">
        <v>19162294000000</v>
      </c>
      <c r="G27" s="21">
        <v>19796871000000</v>
      </c>
      <c r="H27" s="21">
        <v>20298819000000</v>
      </c>
      <c r="I27" s="21">
        <v>20738447000000</v>
      </c>
      <c r="J27" s="21">
        <v>21206968000000</v>
      </c>
      <c r="K27" s="21">
        <v>21882990000000</v>
      </c>
      <c r="L27" s="21">
        <v>22526840000000</v>
      </c>
      <c r="M27" s="21">
        <v>23465103000000</v>
      </c>
      <c r="N27" s="21">
        <v>24195562000000</v>
      </c>
      <c r="O27" s="21">
        <v>25423439000000</v>
      </c>
      <c r="P27" s="21">
        <v>26930630000000</v>
      </c>
      <c r="Q27" s="21">
        <v>28432028000000</v>
      </c>
      <c r="R27" s="21">
        <v>29784435000000</v>
      </c>
      <c r="S27" s="21">
        <v>31844107000000</v>
      </c>
      <c r="T27" s="21">
        <v>33822066999999.996</v>
      </c>
      <c r="U27" s="21">
        <v>35441483000000</v>
      </c>
      <c r="V27" s="21">
        <v>37262547000000</v>
      </c>
      <c r="W27" s="21">
        <v>39033730000000</v>
      </c>
      <c r="X27" s="21">
        <v>40290234000000</v>
      </c>
      <c r="Y27" s="21">
        <v>41872456000000</v>
      </c>
      <c r="Z27" s="21">
        <v>43686554000000</v>
      </c>
      <c r="AA27" s="21">
        <v>45142220000000</v>
      </c>
      <c r="AB27" s="21">
        <v>46537186000000</v>
      </c>
      <c r="AC27" s="21">
        <v>48237312000000</v>
      </c>
      <c r="AD27" s="21">
        <v>49638706000000</v>
      </c>
      <c r="AE27" s="21">
        <v>50928295000000</v>
      </c>
      <c r="AF27" s="21">
        <v>52257393000000</v>
      </c>
      <c r="AG27" s="21">
        <v>53466022000000</v>
      </c>
      <c r="AH27" s="21">
        <v>54383484000000</v>
      </c>
      <c r="AI27" s="21">
        <v>55682816000000</v>
      </c>
    </row>
    <row r="28" spans="1:35">
      <c r="A28" s="5" t="s">
        <v>567</v>
      </c>
      <c r="B28" s="21">
        <v>3911414420240190</v>
      </c>
      <c r="C28" s="21">
        <v>4106968749601134.5</v>
      </c>
      <c r="D28" s="21">
        <v>4219275075874402</v>
      </c>
      <c r="E28" s="21">
        <v>4350036915891432</v>
      </c>
      <c r="F28" s="21">
        <v>4375397505626940.5</v>
      </c>
      <c r="G28" s="21">
        <v>4414728108451744</v>
      </c>
      <c r="H28" s="21">
        <v>4446820897527919</v>
      </c>
      <c r="I28" s="21">
        <v>4466009972708159.5</v>
      </c>
      <c r="J28" s="21">
        <v>4498017496082811</v>
      </c>
      <c r="K28" s="21">
        <v>4563818918938292</v>
      </c>
      <c r="L28" s="21">
        <v>4520739859998904</v>
      </c>
      <c r="M28" s="21">
        <v>4571230989032616</v>
      </c>
      <c r="N28" s="21">
        <v>4534441528474835</v>
      </c>
      <c r="O28" s="21">
        <v>4549096508130235</v>
      </c>
      <c r="P28" s="21">
        <v>4550359144415946</v>
      </c>
      <c r="Q28" s="21">
        <v>4566755178062333</v>
      </c>
      <c r="R28" s="21">
        <v>4561913266246419</v>
      </c>
      <c r="S28" s="21">
        <v>4597711818086579</v>
      </c>
      <c r="T28" s="21">
        <v>4625590859183592</v>
      </c>
      <c r="U28" s="21">
        <v>4652323179043608</v>
      </c>
      <c r="V28" s="21">
        <v>4666610050313648</v>
      </c>
      <c r="W28" s="21">
        <v>4707617438380121</v>
      </c>
      <c r="X28" s="21">
        <v>4723724552050791</v>
      </c>
      <c r="Y28" s="21">
        <v>4763636328842910</v>
      </c>
      <c r="Z28" s="21">
        <v>4772659416289150</v>
      </c>
      <c r="AA28" s="21">
        <v>4765106417758890</v>
      </c>
      <c r="AB28" s="21">
        <v>4788624015441170</v>
      </c>
      <c r="AC28" s="21">
        <v>4788599552455926</v>
      </c>
      <c r="AD28" s="21">
        <v>4856525053839810</v>
      </c>
      <c r="AE28" s="21">
        <v>4831046967524032</v>
      </c>
      <c r="AF28" s="21">
        <v>4835180933050956</v>
      </c>
      <c r="AG28" s="21">
        <v>4849522590420038</v>
      </c>
      <c r="AH28" s="21">
        <v>4871846434058806</v>
      </c>
      <c r="AI28" s="21">
        <v>4879980391397211</v>
      </c>
    </row>
    <row r="29" spans="1:35">
      <c r="A29" s="5" t="s">
        <v>568</v>
      </c>
      <c r="B29" s="21">
        <v>402024536000000</v>
      </c>
      <c r="C29" s="21">
        <v>426780823000000</v>
      </c>
      <c r="D29" s="21">
        <v>423848633000000</v>
      </c>
      <c r="E29" s="21">
        <v>425218872000000</v>
      </c>
      <c r="F29" s="21">
        <v>419352722000000</v>
      </c>
      <c r="G29" s="21">
        <v>426413727000000</v>
      </c>
      <c r="H29" s="21">
        <v>433243286000000</v>
      </c>
      <c r="I29" s="21">
        <v>437019043000000</v>
      </c>
      <c r="J29" s="21">
        <v>441456543000000</v>
      </c>
      <c r="K29" s="21">
        <v>446114166000000</v>
      </c>
      <c r="L29" s="21">
        <v>445935822000000</v>
      </c>
      <c r="M29" s="21">
        <v>450343658000000</v>
      </c>
      <c r="N29" s="21">
        <v>452884399000000</v>
      </c>
      <c r="O29" s="21">
        <v>456307281000000</v>
      </c>
      <c r="P29" s="21">
        <v>450268555000000</v>
      </c>
      <c r="Q29" s="21">
        <v>438102478000000</v>
      </c>
      <c r="R29" s="21">
        <v>422171875000000</v>
      </c>
      <c r="S29" s="21">
        <v>409214600000000</v>
      </c>
      <c r="T29" s="21">
        <v>402046692000000</v>
      </c>
      <c r="U29" s="21">
        <v>399882538000000</v>
      </c>
      <c r="V29" s="21">
        <v>401743835000000</v>
      </c>
      <c r="W29" s="21">
        <v>403664246000000</v>
      </c>
      <c r="X29" s="21">
        <v>405563812000000</v>
      </c>
      <c r="Y29" s="21">
        <v>406336212000000</v>
      </c>
      <c r="Z29" s="21">
        <v>406804321000000</v>
      </c>
      <c r="AA29" s="21">
        <v>407206604000000</v>
      </c>
      <c r="AB29" s="21">
        <v>408670929000000</v>
      </c>
      <c r="AC29" s="21">
        <v>408852356000000</v>
      </c>
      <c r="AD29" s="21">
        <v>410530426000000</v>
      </c>
      <c r="AE29" s="21">
        <v>410661499000000</v>
      </c>
      <c r="AF29" s="21">
        <v>410877625000000</v>
      </c>
      <c r="AG29" s="21">
        <v>409619263000000</v>
      </c>
      <c r="AH29" s="21">
        <v>407372253000000</v>
      </c>
      <c r="AI29" s="21">
        <v>403301361000000</v>
      </c>
    </row>
    <row r="30" spans="1:35">
      <c r="A30" s="5" t="s">
        <v>569</v>
      </c>
      <c r="B30" s="21">
        <v>3142172791000000</v>
      </c>
      <c r="C30" s="21">
        <v>3314329895000000</v>
      </c>
      <c r="D30" s="21">
        <v>3367991455000000</v>
      </c>
      <c r="E30" s="21">
        <v>3480566284000000</v>
      </c>
      <c r="F30" s="21">
        <v>3616910095000000</v>
      </c>
      <c r="G30" s="21">
        <v>3725124146000000</v>
      </c>
      <c r="H30" s="21">
        <v>3808215210000000</v>
      </c>
      <c r="I30" s="21">
        <v>3900541259000000</v>
      </c>
      <c r="J30" s="21">
        <v>3925927124000000</v>
      </c>
      <c r="K30" s="21">
        <v>3959050781000000</v>
      </c>
      <c r="L30" s="21">
        <v>4034403199000000</v>
      </c>
      <c r="M30" s="21">
        <v>4066295898999999.5</v>
      </c>
      <c r="N30" s="21">
        <v>4115350952000000</v>
      </c>
      <c r="O30" s="21">
        <v>4116890991999999.5</v>
      </c>
      <c r="P30" s="21">
        <v>4142271729000000</v>
      </c>
      <c r="Q30" s="21">
        <v>4163132445999999.5</v>
      </c>
      <c r="R30" s="21">
        <v>4171897583000000</v>
      </c>
      <c r="S30" s="21">
        <v>4160120361000000</v>
      </c>
      <c r="T30" s="21">
        <v>4171768554000000</v>
      </c>
      <c r="U30" s="21">
        <v>4195092407000000</v>
      </c>
      <c r="V30" s="21">
        <v>4197153808999999.5</v>
      </c>
      <c r="W30" s="21">
        <v>4231839599000000</v>
      </c>
      <c r="X30" s="21">
        <v>4249875000000000</v>
      </c>
      <c r="Y30" s="21">
        <v>4255630127000000.5</v>
      </c>
      <c r="Z30" s="21">
        <v>4275545411000000</v>
      </c>
      <c r="AA30" s="21">
        <v>4298623291000000</v>
      </c>
      <c r="AB30" s="21">
        <v>4291687867000000.5</v>
      </c>
      <c r="AC30" s="21">
        <v>4303908692000000</v>
      </c>
      <c r="AD30" s="21">
        <v>4311112671000000</v>
      </c>
      <c r="AE30" s="21">
        <v>4325426757999999.5</v>
      </c>
      <c r="AF30" s="21">
        <v>4340391357000000.5</v>
      </c>
      <c r="AG30" s="21">
        <v>4366840332000000</v>
      </c>
      <c r="AH30" s="21">
        <v>4371703369000000</v>
      </c>
      <c r="AI30" s="21">
        <v>4393012818000000</v>
      </c>
    </row>
    <row r="31" spans="1:35">
      <c r="A31" s="5" t="s">
        <v>570</v>
      </c>
      <c r="B31" s="21">
        <v>56865602537587.547</v>
      </c>
      <c r="C31" s="21">
        <v>61246252671234.359</v>
      </c>
      <c r="D31" s="21">
        <v>65047036819301.57</v>
      </c>
      <c r="E31" s="21">
        <v>66226489701981.992</v>
      </c>
      <c r="F31" s="21">
        <v>67024872274042.352</v>
      </c>
      <c r="G31" s="21">
        <v>67472411120128.523</v>
      </c>
      <c r="H31" s="21">
        <v>67631187635884.063</v>
      </c>
      <c r="I31" s="21">
        <v>67819229021853.914</v>
      </c>
      <c r="J31" s="21">
        <v>68063786928625.344</v>
      </c>
      <c r="K31" s="21">
        <v>68462555859812.453</v>
      </c>
      <c r="L31" s="21">
        <v>68475942524946.492</v>
      </c>
      <c r="M31" s="21">
        <v>68432413684634.664</v>
      </c>
      <c r="N31" s="21">
        <v>68318188762891.805</v>
      </c>
      <c r="O31" s="21">
        <v>68173802908311.586</v>
      </c>
      <c r="P31" s="21">
        <v>68165657471516.109</v>
      </c>
      <c r="Q31" s="21">
        <v>68009147096289.258</v>
      </c>
      <c r="R31" s="21">
        <v>67909153395615.32</v>
      </c>
      <c r="S31" s="21">
        <v>67865127323573.391</v>
      </c>
      <c r="T31" s="21">
        <v>67819153991215.602</v>
      </c>
      <c r="U31" s="21">
        <v>67849779406754.438</v>
      </c>
      <c r="V31" s="21">
        <v>67873455724425.398</v>
      </c>
      <c r="W31" s="21">
        <v>67977963255999.742</v>
      </c>
      <c r="X31" s="21">
        <v>68056007266191.625</v>
      </c>
      <c r="Y31" s="21">
        <v>68143881366260.789</v>
      </c>
      <c r="Z31" s="21">
        <v>68221906465041.781</v>
      </c>
      <c r="AA31" s="21">
        <v>68266838286039.164</v>
      </c>
      <c r="AB31" s="21">
        <v>68237925352568.883</v>
      </c>
      <c r="AC31" s="21">
        <v>68303155267497.719</v>
      </c>
      <c r="AD31" s="21">
        <v>68320989957972.344</v>
      </c>
      <c r="AE31" s="21">
        <v>68387172362254.273</v>
      </c>
      <c r="AF31" s="21">
        <v>68443318188652.281</v>
      </c>
      <c r="AG31" s="21">
        <v>68519715214832.813</v>
      </c>
      <c r="AH31" s="21">
        <v>68505742142210.039</v>
      </c>
      <c r="AI31" s="21">
        <v>68630909083289.664</v>
      </c>
    </row>
    <row r="32" spans="1:35">
      <c r="A32" s="5" t="s">
        <v>571</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0</v>
      </c>
      <c r="AH32" s="21">
        <v>0</v>
      </c>
      <c r="AI32" s="21">
        <v>0</v>
      </c>
    </row>
    <row r="33" spans="1:35">
      <c r="A33" s="5" t="s">
        <v>572</v>
      </c>
      <c r="B33" s="21">
        <v>69368279000000</v>
      </c>
      <c r="C33" s="21">
        <v>68730209000000</v>
      </c>
      <c r="D33" s="21">
        <v>67718277000000</v>
      </c>
      <c r="E33" s="21">
        <v>68715530000000</v>
      </c>
      <c r="F33" s="21">
        <v>69726378999999.992</v>
      </c>
      <c r="G33" s="21">
        <v>70543793000000</v>
      </c>
      <c r="H33" s="21">
        <v>71229324000000</v>
      </c>
      <c r="I33" s="21">
        <v>71772758000000</v>
      </c>
      <c r="J33" s="21">
        <v>72264702000000</v>
      </c>
      <c r="K33" s="21">
        <v>72713646000000</v>
      </c>
      <c r="L33" s="21">
        <v>73036621000000</v>
      </c>
      <c r="M33" s="21">
        <v>73397026000000</v>
      </c>
      <c r="N33" s="21">
        <v>73677490000000</v>
      </c>
      <c r="O33" s="21">
        <v>73845238000000</v>
      </c>
      <c r="P33" s="21">
        <v>74162979000000</v>
      </c>
      <c r="Q33" s="21">
        <v>74896156000000</v>
      </c>
      <c r="R33" s="21">
        <v>75131866000000</v>
      </c>
      <c r="S33" s="21">
        <v>75455582000000</v>
      </c>
      <c r="T33" s="21">
        <v>75803673000000</v>
      </c>
      <c r="U33" s="21">
        <v>76149841000000</v>
      </c>
      <c r="V33" s="21">
        <v>76675644000000</v>
      </c>
      <c r="W33" s="21">
        <v>77203445000000</v>
      </c>
      <c r="X33" s="21">
        <v>77662758000000</v>
      </c>
      <c r="Y33" s="21">
        <v>78083939000000</v>
      </c>
      <c r="Z33" s="21">
        <v>78443459000000</v>
      </c>
      <c r="AA33" s="21">
        <v>78853607000000</v>
      </c>
      <c r="AB33" s="21">
        <v>79295212000000</v>
      </c>
      <c r="AC33" s="21">
        <v>79770500000000</v>
      </c>
      <c r="AD33" s="21">
        <v>80297318000000</v>
      </c>
      <c r="AE33" s="21">
        <v>80856262000000</v>
      </c>
      <c r="AF33" s="21">
        <v>81432121000000</v>
      </c>
      <c r="AG33" s="21">
        <v>82053825000000</v>
      </c>
      <c r="AH33" s="21">
        <v>82680275000000</v>
      </c>
      <c r="AI33" s="21">
        <v>83280586000000</v>
      </c>
    </row>
    <row r="34" spans="1:35">
      <c r="A34" s="5" t="s">
        <v>573</v>
      </c>
      <c r="B34" s="21">
        <v>2951554856222224</v>
      </c>
      <c r="C34" s="21">
        <v>3050455070727632</v>
      </c>
      <c r="D34" s="21">
        <v>2984287149306296</v>
      </c>
      <c r="E34" s="21">
        <v>3043641781406586</v>
      </c>
      <c r="F34" s="21">
        <v>3117099948099018</v>
      </c>
      <c r="G34" s="21">
        <v>3167063297428125</v>
      </c>
      <c r="H34" s="21">
        <v>3207699574836195</v>
      </c>
      <c r="I34" s="21">
        <v>3247465412269986</v>
      </c>
      <c r="J34" s="21">
        <v>3269475704988562</v>
      </c>
      <c r="K34" s="21">
        <v>3305524628201898</v>
      </c>
      <c r="L34" s="21">
        <v>3344673875476150</v>
      </c>
      <c r="M34" s="21">
        <v>3378653656282750</v>
      </c>
      <c r="N34" s="21">
        <v>3396117848762272</v>
      </c>
      <c r="O34" s="21">
        <v>3417220111961456</v>
      </c>
      <c r="P34" s="21">
        <v>3442749393112538</v>
      </c>
      <c r="Q34" s="21">
        <v>3457471461841378</v>
      </c>
      <c r="R34" s="21">
        <v>3477317072357964</v>
      </c>
      <c r="S34" s="21">
        <v>3502349596589846</v>
      </c>
      <c r="T34" s="21">
        <v>3530571011825194</v>
      </c>
      <c r="U34" s="21">
        <v>3558455890549636</v>
      </c>
      <c r="V34" s="21">
        <v>3589043427961926</v>
      </c>
      <c r="W34" s="21">
        <v>3621774841363880</v>
      </c>
      <c r="X34" s="21">
        <v>3652635256683016</v>
      </c>
      <c r="Y34" s="21">
        <v>3679595239790828</v>
      </c>
      <c r="Z34" s="21">
        <v>3709282581245808</v>
      </c>
      <c r="AA34" s="21">
        <v>3737752430955070</v>
      </c>
      <c r="AB34" s="21">
        <v>3766468238206262</v>
      </c>
      <c r="AC34" s="21">
        <v>3796583497276574</v>
      </c>
      <c r="AD34" s="21">
        <v>3832423505202216</v>
      </c>
      <c r="AE34" s="21">
        <v>3866335279113714</v>
      </c>
      <c r="AF34" s="21">
        <v>3901880956760394</v>
      </c>
      <c r="AG34" s="21">
        <v>3934719864365130</v>
      </c>
      <c r="AH34" s="21">
        <v>3969798117798984</v>
      </c>
      <c r="AI34" s="21">
        <v>4009307154519498</v>
      </c>
    </row>
    <row r="36" spans="1:35">
      <c r="A36" s="1" t="s">
        <v>1005</v>
      </c>
    </row>
    <row r="37" spans="1:35">
      <c r="A37" t="s">
        <v>574</v>
      </c>
      <c r="B37">
        <v>2017</v>
      </c>
      <c r="C37">
        <v>2018</v>
      </c>
      <c r="D37">
        <v>2019</v>
      </c>
      <c r="E37">
        <v>2020</v>
      </c>
      <c r="F37">
        <v>2021</v>
      </c>
      <c r="G37">
        <v>2022</v>
      </c>
      <c r="H37">
        <v>2023</v>
      </c>
      <c r="I37">
        <v>2024</v>
      </c>
      <c r="J37">
        <v>2025</v>
      </c>
      <c r="K37">
        <v>2026</v>
      </c>
      <c r="L37">
        <v>2027</v>
      </c>
      <c r="M37">
        <v>2028</v>
      </c>
      <c r="N37">
        <v>2029</v>
      </c>
      <c r="O37">
        <v>2030</v>
      </c>
      <c r="P37">
        <v>2031</v>
      </c>
      <c r="Q37">
        <v>2032</v>
      </c>
      <c r="R37">
        <v>2033</v>
      </c>
      <c r="S37">
        <v>2034</v>
      </c>
      <c r="T37">
        <v>2035</v>
      </c>
      <c r="U37">
        <v>2036</v>
      </c>
      <c r="V37">
        <v>2037</v>
      </c>
      <c r="W37">
        <v>2038</v>
      </c>
      <c r="X37">
        <v>2039</v>
      </c>
      <c r="Y37">
        <v>2040</v>
      </c>
      <c r="Z37">
        <v>2041</v>
      </c>
      <c r="AA37">
        <v>2042</v>
      </c>
      <c r="AB37">
        <v>2043</v>
      </c>
      <c r="AC37">
        <v>2044</v>
      </c>
      <c r="AD37">
        <v>2045</v>
      </c>
      <c r="AE37">
        <v>2046</v>
      </c>
      <c r="AF37">
        <v>2047</v>
      </c>
      <c r="AG37">
        <v>2048</v>
      </c>
      <c r="AH37">
        <v>2049</v>
      </c>
      <c r="AI37">
        <v>2050</v>
      </c>
    </row>
    <row r="38" spans="1:35">
      <c r="A38" t="s">
        <v>566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row>
    <row r="39" spans="1:35">
      <c r="A39" t="s">
        <v>567</v>
      </c>
      <c r="B39">
        <v>783995972000000</v>
      </c>
      <c r="C39">
        <v>782417969000000</v>
      </c>
      <c r="D39">
        <v>802767883000000</v>
      </c>
      <c r="E39">
        <v>837631226000000</v>
      </c>
      <c r="F39">
        <v>838947266000000</v>
      </c>
      <c r="G39">
        <v>840181335000000</v>
      </c>
      <c r="H39">
        <v>841316956000000</v>
      </c>
      <c r="I39">
        <v>844533508000000</v>
      </c>
      <c r="J39">
        <v>845605103000000</v>
      </c>
      <c r="K39">
        <v>845901733000000</v>
      </c>
      <c r="L39">
        <v>846117615000000</v>
      </c>
      <c r="M39">
        <v>851530518000000</v>
      </c>
      <c r="N39">
        <v>852830872000000</v>
      </c>
      <c r="O39">
        <v>855325012000000</v>
      </c>
      <c r="P39">
        <v>846386353000000</v>
      </c>
      <c r="Q39">
        <v>847307373000000</v>
      </c>
      <c r="R39">
        <v>848445923000000</v>
      </c>
      <c r="S39">
        <v>848728088000000</v>
      </c>
      <c r="T39">
        <v>848773621000000</v>
      </c>
      <c r="U39">
        <v>848779724000000</v>
      </c>
      <c r="V39">
        <v>848771790000000</v>
      </c>
      <c r="W39">
        <v>848746521000000</v>
      </c>
      <c r="X39">
        <v>848725830000000</v>
      </c>
      <c r="Y39">
        <v>848697937000000</v>
      </c>
      <c r="Z39">
        <v>848703186000000</v>
      </c>
      <c r="AA39">
        <v>844511902000000</v>
      </c>
      <c r="AB39">
        <v>840107117000000</v>
      </c>
      <c r="AC39">
        <v>838935852000000</v>
      </c>
      <c r="AD39">
        <v>837246155000000</v>
      </c>
      <c r="AE39">
        <v>837239624000000</v>
      </c>
      <c r="AF39">
        <v>837227173000000</v>
      </c>
      <c r="AG39">
        <v>837215759000000</v>
      </c>
      <c r="AH39">
        <v>837205627000000</v>
      </c>
      <c r="AI39">
        <v>837194214000000</v>
      </c>
    </row>
    <row r="40" spans="1:35">
      <c r="A40" t="s">
        <v>568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row>
    <row r="41" spans="1:35">
      <c r="A41" t="s">
        <v>569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row>
    <row r="42" spans="1:35">
      <c r="A42" t="s">
        <v>570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5">
      <c r="A43" t="s">
        <v>571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row>
    <row r="44" spans="1:35">
      <c r="A44" t="s">
        <v>572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row>
    <row r="45" spans="1:35">
      <c r="A45" t="s">
        <v>573</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7" spans="1:35">
      <c r="A47" s="1" t="s">
        <v>1006</v>
      </c>
    </row>
    <row r="48" spans="1:35">
      <c r="A48" t="s">
        <v>574</v>
      </c>
      <c r="B48">
        <v>2017</v>
      </c>
      <c r="C48">
        <v>2018</v>
      </c>
      <c r="D48">
        <v>2019</v>
      </c>
      <c r="E48">
        <v>2020</v>
      </c>
      <c r="F48">
        <v>2021</v>
      </c>
      <c r="G48">
        <v>2022</v>
      </c>
      <c r="H48">
        <v>2023</v>
      </c>
      <c r="I48">
        <v>2024</v>
      </c>
      <c r="J48">
        <v>2025</v>
      </c>
      <c r="K48">
        <v>2026</v>
      </c>
      <c r="L48">
        <v>2027</v>
      </c>
      <c r="M48">
        <v>2028</v>
      </c>
      <c r="N48">
        <v>2029</v>
      </c>
      <c r="O48">
        <v>2030</v>
      </c>
      <c r="P48">
        <v>2031</v>
      </c>
      <c r="Q48">
        <v>2032</v>
      </c>
      <c r="R48">
        <v>2033</v>
      </c>
      <c r="S48">
        <v>2034</v>
      </c>
      <c r="T48">
        <v>2035</v>
      </c>
      <c r="U48">
        <v>2036</v>
      </c>
      <c r="V48">
        <v>2037</v>
      </c>
      <c r="W48">
        <v>2038</v>
      </c>
      <c r="X48">
        <v>2039</v>
      </c>
      <c r="Y48">
        <v>2040</v>
      </c>
      <c r="Z48">
        <v>2041</v>
      </c>
      <c r="AA48">
        <v>2042</v>
      </c>
      <c r="AB48">
        <v>2043</v>
      </c>
      <c r="AC48">
        <v>2044</v>
      </c>
      <c r="AD48">
        <v>2045</v>
      </c>
      <c r="AE48">
        <v>2046</v>
      </c>
      <c r="AF48">
        <v>2047</v>
      </c>
      <c r="AG48">
        <v>2048</v>
      </c>
      <c r="AH48">
        <v>2049</v>
      </c>
      <c r="AI48">
        <v>2050</v>
      </c>
    </row>
    <row r="49" spans="1:35">
      <c r="A49" t="s">
        <v>566</v>
      </c>
      <c r="B49">
        <v>45352504000000</v>
      </c>
      <c r="C49">
        <v>51222068000000</v>
      </c>
      <c r="D49">
        <v>49287591000000</v>
      </c>
      <c r="E49">
        <v>50457293000000</v>
      </c>
      <c r="F49">
        <v>51089377000000</v>
      </c>
      <c r="G49">
        <v>51149669000000</v>
      </c>
      <c r="H49">
        <v>51147055000000</v>
      </c>
      <c r="I49">
        <v>50966686000000</v>
      </c>
      <c r="J49">
        <v>50743818000000</v>
      </c>
      <c r="K49">
        <v>50507314000000</v>
      </c>
      <c r="L49">
        <v>50165523000000</v>
      </c>
      <c r="M49">
        <v>50090164000000</v>
      </c>
      <c r="N49">
        <v>49803179000000</v>
      </c>
      <c r="O49">
        <v>49693224000000</v>
      </c>
      <c r="P49">
        <v>49940489000000</v>
      </c>
      <c r="Q49">
        <v>50062647000000</v>
      </c>
      <c r="R49">
        <v>50092071000000</v>
      </c>
      <c r="S49">
        <v>50505579000000</v>
      </c>
      <c r="T49">
        <v>49815694000000</v>
      </c>
      <c r="U49">
        <v>50700168000000</v>
      </c>
      <c r="V49">
        <v>51751295000000</v>
      </c>
      <c r="W49">
        <v>52641720000000</v>
      </c>
      <c r="X49">
        <v>53116752000000</v>
      </c>
      <c r="Y49">
        <v>53909221000000</v>
      </c>
      <c r="Z49">
        <v>54863544000000</v>
      </c>
      <c r="AA49">
        <v>55556483000000</v>
      </c>
      <c r="AB49">
        <v>56344258000000</v>
      </c>
      <c r="AC49">
        <v>57257551000000</v>
      </c>
      <c r="AD49">
        <v>58109394000000</v>
      </c>
      <c r="AE49">
        <v>58811676000000</v>
      </c>
      <c r="AF49">
        <v>59619820000000</v>
      </c>
      <c r="AG49">
        <v>60370458000000</v>
      </c>
      <c r="AH49">
        <v>60998629000000</v>
      </c>
      <c r="AI49">
        <v>61846948000000</v>
      </c>
    </row>
    <row r="50" spans="1:35">
      <c r="A50" t="s">
        <v>567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c r="A51" t="s">
        <v>568</v>
      </c>
      <c r="B51">
        <v>2653385000000</v>
      </c>
      <c r="C51">
        <v>2610474000000</v>
      </c>
      <c r="D51">
        <v>2609110000000</v>
      </c>
      <c r="E51">
        <v>2653025000000</v>
      </c>
      <c r="F51">
        <v>2644880000000</v>
      </c>
      <c r="G51">
        <v>2642337000000</v>
      </c>
      <c r="H51">
        <v>2645814000000</v>
      </c>
      <c r="I51">
        <v>2637006000000</v>
      </c>
      <c r="J51">
        <v>2583453000000</v>
      </c>
      <c r="K51">
        <v>2546930000000</v>
      </c>
      <c r="L51">
        <v>2465482000000</v>
      </c>
      <c r="M51">
        <v>2412642000000</v>
      </c>
      <c r="N51">
        <v>2349871000000</v>
      </c>
      <c r="O51">
        <v>2314190000000</v>
      </c>
      <c r="P51">
        <v>2281495000000</v>
      </c>
      <c r="Q51">
        <v>2254909000000</v>
      </c>
      <c r="R51">
        <v>2228180000000</v>
      </c>
      <c r="S51">
        <v>2204892000000</v>
      </c>
      <c r="T51">
        <v>2173179000000.0002</v>
      </c>
      <c r="U51">
        <v>2135635000000.0002</v>
      </c>
      <c r="V51">
        <v>2121359000000</v>
      </c>
      <c r="W51">
        <v>2091397000000.0002</v>
      </c>
      <c r="X51">
        <v>2062418000000</v>
      </c>
      <c r="Y51">
        <v>2030603000000.0002</v>
      </c>
      <c r="Z51">
        <v>2001119999999.9998</v>
      </c>
      <c r="AA51">
        <v>1963205000000</v>
      </c>
      <c r="AB51">
        <v>1932306000000</v>
      </c>
      <c r="AC51">
        <v>1901668000000</v>
      </c>
      <c r="AD51">
        <v>1870464000000</v>
      </c>
      <c r="AE51">
        <v>1841164000000</v>
      </c>
      <c r="AF51">
        <v>1815059000000</v>
      </c>
      <c r="AG51">
        <v>1779518000000</v>
      </c>
      <c r="AH51">
        <v>1756997000000</v>
      </c>
      <c r="AI51">
        <v>1735917000000</v>
      </c>
    </row>
    <row r="52" spans="1:35">
      <c r="A52" t="s">
        <v>569</v>
      </c>
      <c r="B52">
        <v>68659549999999.992</v>
      </c>
      <c r="C52">
        <v>68089743000000</v>
      </c>
      <c r="D52">
        <v>77497061000000</v>
      </c>
      <c r="E52">
        <v>74700032999999.984</v>
      </c>
      <c r="F52">
        <v>73943740999999.984</v>
      </c>
      <c r="G52">
        <v>74132871000000</v>
      </c>
      <c r="H52">
        <v>73732262999999.984</v>
      </c>
      <c r="I52">
        <v>74017132000000</v>
      </c>
      <c r="J52">
        <v>76495316000000</v>
      </c>
      <c r="K52">
        <v>77409815000000.016</v>
      </c>
      <c r="L52">
        <v>78847191000000.016</v>
      </c>
      <c r="M52">
        <v>80568813000000</v>
      </c>
      <c r="N52">
        <v>82241739000000</v>
      </c>
      <c r="O52">
        <v>83118057000000</v>
      </c>
      <c r="P52">
        <v>84245035000000</v>
      </c>
      <c r="Q52">
        <v>86235023000000</v>
      </c>
      <c r="R52">
        <v>87892415000000</v>
      </c>
      <c r="S52">
        <v>88609949000000</v>
      </c>
      <c r="T52">
        <v>90258252000000</v>
      </c>
      <c r="U52">
        <v>92458186000000.016</v>
      </c>
      <c r="V52">
        <v>93575403000000</v>
      </c>
      <c r="W52">
        <v>96139703000000</v>
      </c>
      <c r="X52">
        <v>98110518000000</v>
      </c>
      <c r="Y52">
        <v>99998157000000</v>
      </c>
      <c r="Z52">
        <v>102334902000000</v>
      </c>
      <c r="AA52">
        <v>104993893000000</v>
      </c>
      <c r="AB52">
        <v>106469960000000</v>
      </c>
      <c r="AC52">
        <v>109192711000000</v>
      </c>
      <c r="AD52">
        <v>111411281000000</v>
      </c>
      <c r="AE52">
        <v>114045285000000</v>
      </c>
      <c r="AF52">
        <v>116757536000000</v>
      </c>
      <c r="AG52">
        <v>120650841000000</v>
      </c>
      <c r="AH52">
        <v>122964464000000</v>
      </c>
      <c r="AI52">
        <v>126012613000000</v>
      </c>
    </row>
    <row r="53" spans="1:35">
      <c r="A53" t="s">
        <v>570</v>
      </c>
      <c r="B53">
        <v>68899328977004.102</v>
      </c>
      <c r="C53">
        <v>74694154807294.406</v>
      </c>
      <c r="D53">
        <v>80114671964603.984</v>
      </c>
      <c r="E53">
        <v>81389574885675.906</v>
      </c>
      <c r="F53">
        <v>81938947086088.313</v>
      </c>
      <c r="G53">
        <v>82471918040682.375</v>
      </c>
      <c r="H53">
        <v>82419119111935.125</v>
      </c>
      <c r="I53">
        <v>82550811605784.109</v>
      </c>
      <c r="J53">
        <v>82671293592688.172</v>
      </c>
      <c r="K53">
        <v>83178446644198.641</v>
      </c>
      <c r="L53">
        <v>82925161484395.688</v>
      </c>
      <c r="M53">
        <v>82477405179150.484</v>
      </c>
      <c r="N53">
        <v>82283127419225.797</v>
      </c>
      <c r="O53">
        <v>81924069512120.063</v>
      </c>
      <c r="P53">
        <v>81723874061709.391</v>
      </c>
      <c r="Q53">
        <v>81259080866965.313</v>
      </c>
      <c r="R53">
        <v>80982631821302.578</v>
      </c>
      <c r="S53">
        <v>80666784105345.438</v>
      </c>
      <c r="T53">
        <v>80517742402045.516</v>
      </c>
      <c r="U53">
        <v>80490713147063.906</v>
      </c>
      <c r="V53">
        <v>80388883029440.828</v>
      </c>
      <c r="W53">
        <v>80454935421581.063</v>
      </c>
      <c r="X53">
        <v>80465863576305.453</v>
      </c>
      <c r="Y53">
        <v>80414227536015.359</v>
      </c>
      <c r="Z53">
        <v>80395902736429.313</v>
      </c>
      <c r="AA53">
        <v>80281065218583.875</v>
      </c>
      <c r="AB53">
        <v>80021608579068.547</v>
      </c>
      <c r="AC53">
        <v>79982299109600.063</v>
      </c>
      <c r="AD53">
        <v>79922333912927.281</v>
      </c>
      <c r="AE53">
        <v>79793962218328.703</v>
      </c>
      <c r="AF53">
        <v>79690502839426.469</v>
      </c>
      <c r="AG53">
        <v>79697954971416.031</v>
      </c>
      <c r="AH53">
        <v>79531918988985.484</v>
      </c>
      <c r="AI53">
        <v>79586514811010.172</v>
      </c>
    </row>
    <row r="54" spans="1:35">
      <c r="A54" t="s">
        <v>571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c r="A55" t="s">
        <v>572</v>
      </c>
      <c r="B55">
        <v>568286225000000</v>
      </c>
      <c r="C55">
        <v>575392242000000</v>
      </c>
      <c r="D55">
        <v>560558289000000</v>
      </c>
      <c r="E55">
        <v>567694321000000</v>
      </c>
      <c r="F55">
        <v>574769409000000</v>
      </c>
      <c r="G55">
        <v>581636932000000</v>
      </c>
      <c r="H55">
        <v>588123612000000</v>
      </c>
      <c r="I55">
        <v>593195679000000</v>
      </c>
      <c r="J55">
        <v>597537171000000</v>
      </c>
      <c r="K55">
        <v>602101517000000</v>
      </c>
      <c r="L55">
        <v>605406082000000</v>
      </c>
      <c r="M55">
        <v>609143860000000</v>
      </c>
      <c r="N55">
        <v>612255249000000</v>
      </c>
      <c r="O55">
        <v>614966156000000</v>
      </c>
      <c r="P55">
        <v>618889923000000</v>
      </c>
      <c r="Q55">
        <v>624481949000000</v>
      </c>
      <c r="R55">
        <v>628210312000000</v>
      </c>
      <c r="S55">
        <v>632337097000000</v>
      </c>
      <c r="T55">
        <v>636714630000000</v>
      </c>
      <c r="U55">
        <v>641021118000000</v>
      </c>
      <c r="V55">
        <v>646047271000000</v>
      </c>
      <c r="W55">
        <v>651098083000000</v>
      </c>
      <c r="X55">
        <v>655706269000000</v>
      </c>
      <c r="Y55">
        <v>660063003000000</v>
      </c>
      <c r="Z55">
        <v>664259018000000</v>
      </c>
      <c r="AA55">
        <v>668857193000000</v>
      </c>
      <c r="AB55">
        <v>673678070000000</v>
      </c>
      <c r="AC55">
        <v>678776337000000</v>
      </c>
      <c r="AD55">
        <v>684284088000000</v>
      </c>
      <c r="AE55">
        <v>689997497000000</v>
      </c>
      <c r="AF55">
        <v>695781494000000</v>
      </c>
      <c r="AG55">
        <v>701851181000000</v>
      </c>
      <c r="AH55">
        <v>707826202000000</v>
      </c>
      <c r="AI55">
        <v>713371551000000</v>
      </c>
    </row>
    <row r="56" spans="1:35">
      <c r="A56" t="s">
        <v>573</v>
      </c>
      <c r="B56">
        <v>2122747545022996</v>
      </c>
      <c r="C56">
        <v>2191341646192705.5</v>
      </c>
      <c r="D56">
        <v>2256136522035396</v>
      </c>
      <c r="E56">
        <v>2280755770114324</v>
      </c>
      <c r="F56">
        <v>2289440722913912</v>
      </c>
      <c r="G56">
        <v>2300181271959317.5</v>
      </c>
      <c r="H56">
        <v>2290231751888065</v>
      </c>
      <c r="I56">
        <v>2284232768394216</v>
      </c>
      <c r="J56">
        <v>2291615895407312</v>
      </c>
      <c r="K56">
        <v>2301754764355801.5</v>
      </c>
      <c r="L56">
        <v>2310757150515604</v>
      </c>
      <c r="M56">
        <v>2325740953820849.5</v>
      </c>
      <c r="N56">
        <v>2345696844580774</v>
      </c>
      <c r="O56">
        <v>2376897952487880</v>
      </c>
      <c r="P56">
        <v>2409592182938290.5</v>
      </c>
      <c r="Q56">
        <v>2435288549133035</v>
      </c>
      <c r="R56">
        <v>2464572789178697.5</v>
      </c>
      <c r="S56">
        <v>2496437625894654.5</v>
      </c>
      <c r="T56">
        <v>2527171180597954.5</v>
      </c>
      <c r="U56">
        <v>2557152631852936</v>
      </c>
      <c r="V56">
        <v>2589799502970559</v>
      </c>
      <c r="W56">
        <v>2621627547578419</v>
      </c>
      <c r="X56">
        <v>2650503198423694.5</v>
      </c>
      <c r="Y56">
        <v>2684098188463984.5</v>
      </c>
      <c r="Z56">
        <v>2718568529263571</v>
      </c>
      <c r="AA56">
        <v>2751954776781416</v>
      </c>
      <c r="AB56">
        <v>2786791670420931.5</v>
      </c>
      <c r="AC56">
        <v>2823786753890400</v>
      </c>
      <c r="AD56">
        <v>2861299215087073</v>
      </c>
      <c r="AE56">
        <v>2900087257781671</v>
      </c>
      <c r="AF56">
        <v>2939517748160573.5</v>
      </c>
      <c r="AG56">
        <v>2978494542028584</v>
      </c>
      <c r="AH56">
        <v>3015713333011014.5</v>
      </c>
      <c r="AI56">
        <v>3055134859188990</v>
      </c>
    </row>
    <row r="58" spans="1:35">
      <c r="A58" s="1" t="s">
        <v>962</v>
      </c>
    </row>
    <row r="59" spans="1:35">
      <c r="A59" t="s">
        <v>574</v>
      </c>
      <c r="B59">
        <v>2017</v>
      </c>
      <c r="C59">
        <v>2018</v>
      </c>
      <c r="D59">
        <v>2019</v>
      </c>
      <c r="E59">
        <v>2020</v>
      </c>
      <c r="F59">
        <v>2021</v>
      </c>
      <c r="G59">
        <v>2022</v>
      </c>
      <c r="H59">
        <v>2023</v>
      </c>
      <c r="I59">
        <v>2024</v>
      </c>
      <c r="J59">
        <v>2025</v>
      </c>
      <c r="K59">
        <v>2026</v>
      </c>
      <c r="L59">
        <v>2027</v>
      </c>
      <c r="M59">
        <v>2028</v>
      </c>
      <c r="N59">
        <v>2029</v>
      </c>
      <c r="O59">
        <v>2030</v>
      </c>
      <c r="P59">
        <v>2031</v>
      </c>
      <c r="Q59">
        <v>2032</v>
      </c>
      <c r="R59">
        <v>2033</v>
      </c>
      <c r="S59">
        <v>2034</v>
      </c>
      <c r="T59">
        <v>2035</v>
      </c>
      <c r="U59">
        <v>2036</v>
      </c>
      <c r="V59">
        <v>2037</v>
      </c>
      <c r="W59">
        <v>2038</v>
      </c>
      <c r="X59">
        <v>2039</v>
      </c>
      <c r="Y59">
        <v>2040</v>
      </c>
      <c r="Z59">
        <v>2041</v>
      </c>
      <c r="AA59">
        <v>2042</v>
      </c>
      <c r="AB59">
        <v>2043</v>
      </c>
      <c r="AC59">
        <v>2044</v>
      </c>
      <c r="AD59">
        <v>2045</v>
      </c>
      <c r="AE59">
        <v>2046</v>
      </c>
      <c r="AF59">
        <v>2047</v>
      </c>
      <c r="AG59">
        <v>2048</v>
      </c>
      <c r="AH59">
        <v>2049</v>
      </c>
      <c r="AI59">
        <v>2050</v>
      </c>
    </row>
    <row r="60" spans="1:35">
      <c r="A60" t="s">
        <v>566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567</v>
      </c>
      <c r="B61">
        <v>3.6920673808477024E+16</v>
      </c>
      <c r="C61">
        <v>3.770214216028644E+16</v>
      </c>
      <c r="D61">
        <v>3.8329111730387656E+16</v>
      </c>
      <c r="E61">
        <v>3.9449717721707384E+16</v>
      </c>
      <c r="F61">
        <v>3.8640888432695104E+16</v>
      </c>
      <c r="G61">
        <v>3.8716832647376544E+16</v>
      </c>
      <c r="H61">
        <v>3.852445973804652E+16</v>
      </c>
      <c r="I61">
        <v>3.8286953175073136E+16</v>
      </c>
      <c r="J61">
        <v>3.7722902463692688E+16</v>
      </c>
      <c r="K61">
        <v>3.7389407458097568E+16</v>
      </c>
      <c r="L61">
        <v>3.7414441063674488E+16</v>
      </c>
      <c r="M61">
        <v>3.75014574940592E+16</v>
      </c>
      <c r="N61">
        <v>3.7416143868704016E+16</v>
      </c>
      <c r="O61">
        <v>3.7329124896271536E+16</v>
      </c>
      <c r="P61">
        <v>3.7374502036084536E+16</v>
      </c>
      <c r="Q61">
        <v>3.732118093625984E+16</v>
      </c>
      <c r="R61">
        <v>3.713186276795316E+16</v>
      </c>
      <c r="S61">
        <v>3.715687392717856E+16</v>
      </c>
      <c r="T61">
        <v>3.7154787798568304E+16</v>
      </c>
      <c r="U61">
        <v>3.713704842626476E+16</v>
      </c>
      <c r="V61">
        <v>3.7311968978193328E+16</v>
      </c>
      <c r="W61">
        <v>3.7349633727293536E+16</v>
      </c>
      <c r="X61">
        <v>3.719251007766912E+16</v>
      </c>
      <c r="Y61">
        <v>3.719310798693192E+16</v>
      </c>
      <c r="Z61">
        <v>3.7252277080089552E+16</v>
      </c>
      <c r="AA61">
        <v>3.740176013963708E+16</v>
      </c>
      <c r="AB61">
        <v>3.740273375299788E+16</v>
      </c>
      <c r="AC61">
        <v>3.7563940181665816E+16</v>
      </c>
      <c r="AD61">
        <v>3.7641433975209376E+16</v>
      </c>
      <c r="AE61">
        <v>3.7845322307668264E+16</v>
      </c>
      <c r="AF61">
        <v>3.7842558521428608E+16</v>
      </c>
      <c r="AG61">
        <v>3.7908746417997104E+16</v>
      </c>
      <c r="AH61">
        <v>3.7674722114617744E+16</v>
      </c>
      <c r="AI61">
        <v>3.769903347553624E+16</v>
      </c>
    </row>
    <row r="62" spans="1:35">
      <c r="A62" t="s">
        <v>568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569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row>
    <row r="64" spans="1:35">
      <c r="A64" t="s">
        <v>570</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c r="A65" t="s">
        <v>571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572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c r="A67" t="s">
        <v>573</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9" spans="1:35">
      <c r="A69" s="1" t="s">
        <v>1007</v>
      </c>
    </row>
    <row r="70" spans="1:35">
      <c r="A70" t="s">
        <v>574</v>
      </c>
      <c r="B70">
        <v>2017</v>
      </c>
      <c r="C70">
        <v>2018</v>
      </c>
      <c r="D70">
        <v>2019</v>
      </c>
      <c r="E70">
        <v>2020</v>
      </c>
      <c r="F70">
        <v>2021</v>
      </c>
      <c r="G70">
        <v>2022</v>
      </c>
      <c r="H70">
        <v>2023</v>
      </c>
      <c r="I70">
        <v>2024</v>
      </c>
      <c r="J70">
        <v>2025</v>
      </c>
      <c r="K70">
        <v>2026</v>
      </c>
      <c r="L70">
        <v>2027</v>
      </c>
      <c r="M70">
        <v>2028</v>
      </c>
      <c r="N70">
        <v>2029</v>
      </c>
      <c r="O70">
        <v>2030</v>
      </c>
      <c r="P70">
        <v>2031</v>
      </c>
      <c r="Q70">
        <v>2032</v>
      </c>
      <c r="R70">
        <v>2033</v>
      </c>
      <c r="S70">
        <v>2034</v>
      </c>
      <c r="T70">
        <v>2035</v>
      </c>
      <c r="U70">
        <v>2036</v>
      </c>
      <c r="V70">
        <v>2037</v>
      </c>
      <c r="W70">
        <v>2038</v>
      </c>
      <c r="X70">
        <v>2039</v>
      </c>
      <c r="Y70">
        <v>2040</v>
      </c>
      <c r="Z70">
        <v>2041</v>
      </c>
      <c r="AA70">
        <v>2042</v>
      </c>
      <c r="AB70">
        <v>2043</v>
      </c>
      <c r="AC70">
        <v>2044</v>
      </c>
      <c r="AD70">
        <v>2045</v>
      </c>
      <c r="AE70">
        <v>2046</v>
      </c>
      <c r="AF70">
        <v>2047</v>
      </c>
      <c r="AG70">
        <v>2048</v>
      </c>
      <c r="AH70">
        <v>2049</v>
      </c>
      <c r="AI70">
        <v>2050</v>
      </c>
    </row>
    <row r="71" spans="1:35">
      <c r="A71" t="s">
        <v>566</v>
      </c>
      <c r="B71">
        <v>6982996000000</v>
      </c>
      <c r="C71">
        <v>7244908000000</v>
      </c>
      <c r="D71">
        <v>6510737000000</v>
      </c>
      <c r="E71">
        <v>6508735000000</v>
      </c>
      <c r="F71">
        <v>6492145000000</v>
      </c>
      <c r="G71">
        <v>6481882000000</v>
      </c>
      <c r="H71">
        <v>6474925000000</v>
      </c>
      <c r="I71">
        <v>6470993000000</v>
      </c>
      <c r="J71">
        <v>6477164000000</v>
      </c>
      <c r="K71">
        <v>6508395000000</v>
      </c>
      <c r="L71">
        <v>6556339000000</v>
      </c>
      <c r="M71">
        <v>6641086000000</v>
      </c>
      <c r="N71">
        <v>6738632000000</v>
      </c>
      <c r="O71">
        <v>6885538000000</v>
      </c>
      <c r="P71">
        <v>7084769000000</v>
      </c>
      <c r="Q71">
        <v>7295108000000</v>
      </c>
      <c r="R71">
        <v>7524471000000</v>
      </c>
      <c r="S71">
        <v>7778897000000</v>
      </c>
      <c r="T71">
        <v>7887865000000</v>
      </c>
      <c r="U71">
        <v>8136825000000</v>
      </c>
      <c r="V71">
        <v>8410874000000</v>
      </c>
      <c r="W71">
        <v>8660795000000</v>
      </c>
      <c r="X71">
        <v>8886536000000</v>
      </c>
      <c r="Y71">
        <v>9140901000000</v>
      </c>
      <c r="Z71">
        <v>9417299000000</v>
      </c>
      <c r="AA71">
        <v>9682715000000</v>
      </c>
      <c r="AB71">
        <v>9988909000000</v>
      </c>
      <c r="AC71">
        <v>10307856000000</v>
      </c>
      <c r="AD71">
        <v>10654257000000</v>
      </c>
      <c r="AE71">
        <v>10989072000000</v>
      </c>
      <c r="AF71">
        <v>11361551000000</v>
      </c>
      <c r="AG71">
        <v>11742900000000</v>
      </c>
      <c r="AH71">
        <v>12138665000000</v>
      </c>
      <c r="AI71">
        <v>12557271000000</v>
      </c>
    </row>
    <row r="72" spans="1:35">
      <c r="A72" t="s">
        <v>567</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c r="A73" t="s">
        <v>568</v>
      </c>
      <c r="B73">
        <v>24411713000000</v>
      </c>
      <c r="C73">
        <v>28794584000000</v>
      </c>
      <c r="D73">
        <v>25734111000000</v>
      </c>
      <c r="E73">
        <v>24605004000000</v>
      </c>
      <c r="F73">
        <v>23454502000000</v>
      </c>
      <c r="G73">
        <v>23130297000000</v>
      </c>
      <c r="H73">
        <v>23001386000000</v>
      </c>
      <c r="I73">
        <v>22828905000000</v>
      </c>
      <c r="J73">
        <v>22693236000000</v>
      </c>
      <c r="K73">
        <v>22642077000000</v>
      </c>
      <c r="L73">
        <v>22333906000000</v>
      </c>
      <c r="M73">
        <v>22270487000000</v>
      </c>
      <c r="N73">
        <v>22081091000000</v>
      </c>
      <c r="O73">
        <v>22022096000000</v>
      </c>
      <c r="P73">
        <v>22105563000000</v>
      </c>
      <c r="Q73">
        <v>22338683000000</v>
      </c>
      <c r="R73">
        <v>22591025000000</v>
      </c>
      <c r="S73">
        <v>22832538000000</v>
      </c>
      <c r="T73">
        <v>23036033000000</v>
      </c>
      <c r="U73">
        <v>23231091000000</v>
      </c>
      <c r="V73">
        <v>23526474000000</v>
      </c>
      <c r="W73">
        <v>23692365000000</v>
      </c>
      <c r="X73">
        <v>23810808000000</v>
      </c>
      <c r="Y73">
        <v>23806218000000</v>
      </c>
      <c r="Z73">
        <v>23775324000000</v>
      </c>
      <c r="AA73">
        <v>23735031000000</v>
      </c>
      <c r="AB73">
        <v>23758988000000</v>
      </c>
      <c r="AC73">
        <v>23705960000000</v>
      </c>
      <c r="AD73">
        <v>23774702000000</v>
      </c>
      <c r="AE73">
        <v>23714898000000</v>
      </c>
      <c r="AF73">
        <v>23746938000000</v>
      </c>
      <c r="AG73">
        <v>23749442000000</v>
      </c>
      <c r="AH73">
        <v>23790234000000</v>
      </c>
      <c r="AI73">
        <v>23779238000000</v>
      </c>
    </row>
    <row r="74" spans="1:35">
      <c r="A74" t="s">
        <v>569</v>
      </c>
      <c r="B74">
        <v>187732849000000</v>
      </c>
      <c r="C74">
        <v>174878133000000</v>
      </c>
      <c r="D74">
        <v>191120945000000</v>
      </c>
      <c r="E74">
        <v>166896400000000</v>
      </c>
      <c r="F74">
        <v>146475790000000</v>
      </c>
      <c r="G74">
        <v>132702964000000</v>
      </c>
      <c r="H74">
        <v>120456412000000</v>
      </c>
      <c r="I74">
        <v>109917685000000</v>
      </c>
      <c r="J74">
        <v>114002194000000</v>
      </c>
      <c r="K74">
        <v>111426377000000</v>
      </c>
      <c r="L74">
        <v>107587560000000</v>
      </c>
      <c r="M74">
        <v>107686189000000</v>
      </c>
      <c r="N74">
        <v>104773598000000</v>
      </c>
      <c r="O74">
        <v>103923349000000</v>
      </c>
      <c r="P74">
        <v>101725977000000</v>
      </c>
      <c r="Q74">
        <v>103024361000000</v>
      </c>
      <c r="R74">
        <v>103229489000000</v>
      </c>
      <c r="S74">
        <v>101653159000000</v>
      </c>
      <c r="T74">
        <v>100888087000000</v>
      </c>
      <c r="U74">
        <v>100426528000000</v>
      </c>
      <c r="V74">
        <v>99490109000000</v>
      </c>
      <c r="W74">
        <v>98812171000000</v>
      </c>
      <c r="X74">
        <v>97564312000000</v>
      </c>
      <c r="Y74">
        <v>97049464000000</v>
      </c>
      <c r="Z74">
        <v>95596454000000</v>
      </c>
      <c r="AA74">
        <v>94578503000000</v>
      </c>
      <c r="AB74">
        <v>94324522000000</v>
      </c>
      <c r="AC74">
        <v>95376091000000</v>
      </c>
      <c r="AD74">
        <v>95529684000000</v>
      </c>
      <c r="AE74">
        <v>95893667000000</v>
      </c>
      <c r="AF74">
        <v>96441008000000</v>
      </c>
      <c r="AG74">
        <v>98719726000000</v>
      </c>
      <c r="AH74">
        <v>99888438000000</v>
      </c>
      <c r="AI74">
        <v>101387017000000</v>
      </c>
    </row>
    <row r="75" spans="1:35">
      <c r="A75" t="s">
        <v>570</v>
      </c>
      <c r="B75">
        <v>17536980935408.6</v>
      </c>
      <c r="C75">
        <v>18922683690747.809</v>
      </c>
      <c r="D75">
        <v>19309712963395.184</v>
      </c>
      <c r="E75">
        <v>19881461928468.852</v>
      </c>
      <c r="F75">
        <v>20275987114088.594</v>
      </c>
      <c r="G75">
        <v>20587814939808.168</v>
      </c>
      <c r="H75">
        <v>20751042852145</v>
      </c>
      <c r="I75">
        <v>20965303938297.734</v>
      </c>
      <c r="J75">
        <v>21191816675943.223</v>
      </c>
      <c r="K75">
        <v>21500095198459.461</v>
      </c>
      <c r="L75">
        <v>21612669684328.406</v>
      </c>
      <c r="M75">
        <v>21683784984237.234</v>
      </c>
      <c r="N75">
        <v>21803964484351.148</v>
      </c>
      <c r="O75">
        <v>21847531947049.121</v>
      </c>
      <c r="P75">
        <v>21947209070459.945</v>
      </c>
      <c r="Q75">
        <v>21944374310355.336</v>
      </c>
      <c r="R75">
        <v>21989608493996.871</v>
      </c>
      <c r="S75">
        <v>22017503067226.477</v>
      </c>
      <c r="T75">
        <v>22065248453121.242</v>
      </c>
      <c r="U75">
        <v>22135528870759.422</v>
      </c>
      <c r="V75">
        <v>22181537298839.844</v>
      </c>
      <c r="W75">
        <v>22270049101025.945</v>
      </c>
      <c r="X75">
        <v>22327179303471.203</v>
      </c>
      <c r="Y75">
        <v>22378896584408.488</v>
      </c>
      <c r="Z75">
        <v>22416390899013.16</v>
      </c>
      <c r="AA75">
        <v>22426547384650.605</v>
      </c>
      <c r="AB75">
        <v>22388687604194.977</v>
      </c>
      <c r="AC75">
        <v>22407911669849.902</v>
      </c>
      <c r="AD75">
        <v>22412087017694.766</v>
      </c>
      <c r="AE75">
        <v>22410514180035.145</v>
      </c>
      <c r="AF75">
        <v>22412205718006.383</v>
      </c>
      <c r="AG75">
        <v>22434401271541.035</v>
      </c>
      <c r="AH75">
        <v>22410840313238.453</v>
      </c>
      <c r="AI75">
        <v>22447251341172.828</v>
      </c>
    </row>
    <row r="76" spans="1:35">
      <c r="A76" t="s">
        <v>571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row>
    <row r="77" spans="1:35">
      <c r="A77" t="s">
        <v>572</v>
      </c>
      <c r="B77">
        <v>60290727000000</v>
      </c>
      <c r="C77">
        <v>68438699000000</v>
      </c>
      <c r="D77">
        <v>61426980000000</v>
      </c>
      <c r="E77">
        <v>61012628000000</v>
      </c>
      <c r="F77">
        <v>60564464000000</v>
      </c>
      <c r="G77">
        <v>60745467000000</v>
      </c>
      <c r="H77">
        <v>60927281000000</v>
      </c>
      <c r="I77">
        <v>60938457000000</v>
      </c>
      <c r="J77">
        <v>60849387000000</v>
      </c>
      <c r="K77">
        <v>61097625000000</v>
      </c>
      <c r="L77">
        <v>61206496000000</v>
      </c>
      <c r="M77">
        <v>61366016000000</v>
      </c>
      <c r="N77">
        <v>61440779000000</v>
      </c>
      <c r="O77">
        <v>61811596000000</v>
      </c>
      <c r="P77">
        <v>62302494000000</v>
      </c>
      <c r="Q77">
        <v>62813089000000</v>
      </c>
      <c r="R77">
        <v>63320985000000</v>
      </c>
      <c r="S77">
        <v>63828758000000</v>
      </c>
      <c r="T77">
        <v>64353436999999.992</v>
      </c>
      <c r="U77">
        <v>64856592000000</v>
      </c>
      <c r="V77">
        <v>65385217000000</v>
      </c>
      <c r="W77">
        <v>65910722000000</v>
      </c>
      <c r="X77">
        <v>66400956999999.992</v>
      </c>
      <c r="Y77">
        <v>66879076000000</v>
      </c>
      <c r="Z77">
        <v>67375169000000.008</v>
      </c>
      <c r="AA77">
        <v>67912111000000</v>
      </c>
      <c r="AB77">
        <v>68473688000000</v>
      </c>
      <c r="AC77">
        <v>69067254999999.992</v>
      </c>
      <c r="AD77">
        <v>69704897000000.008</v>
      </c>
      <c r="AE77">
        <v>70365929999999.992</v>
      </c>
      <c r="AF77">
        <v>71035616000000</v>
      </c>
      <c r="AG77">
        <v>71736314000000</v>
      </c>
      <c r="AH77">
        <v>72426950000000</v>
      </c>
      <c r="AI77">
        <v>73070375000000</v>
      </c>
    </row>
    <row r="78" spans="1:35">
      <c r="A78" t="s">
        <v>573</v>
      </c>
      <c r="B78">
        <v>223983109064591.38</v>
      </c>
      <c r="C78">
        <v>229495851309252.19</v>
      </c>
      <c r="D78">
        <v>235891868036604.81</v>
      </c>
      <c r="E78">
        <v>222552219071531.16</v>
      </c>
      <c r="F78">
        <v>208689743885911.41</v>
      </c>
      <c r="G78">
        <v>202478005060191.84</v>
      </c>
      <c r="H78">
        <v>196618025147855</v>
      </c>
      <c r="I78">
        <v>191690109061702.25</v>
      </c>
      <c r="J78">
        <v>193132801324056.78</v>
      </c>
      <c r="K78">
        <v>193020826801540.53</v>
      </c>
      <c r="L78">
        <v>191217267315671.59</v>
      </c>
      <c r="M78">
        <v>191727061015762.75</v>
      </c>
      <c r="N78">
        <v>190813982515648.84</v>
      </c>
      <c r="O78">
        <v>191211157052950.88</v>
      </c>
      <c r="P78">
        <v>191368876929540.06</v>
      </c>
      <c r="Q78">
        <v>192128002689644.66</v>
      </c>
      <c r="R78">
        <v>192779040506003.13</v>
      </c>
      <c r="S78">
        <v>193524870932773.53</v>
      </c>
      <c r="T78">
        <v>194280610546878.75</v>
      </c>
      <c r="U78">
        <v>194909654129240.56</v>
      </c>
      <c r="V78">
        <v>195734819701160.16</v>
      </c>
      <c r="W78">
        <v>196380852898974.06</v>
      </c>
      <c r="X78">
        <v>196730669696528.81</v>
      </c>
      <c r="Y78">
        <v>197606195415591.5</v>
      </c>
      <c r="Z78">
        <v>198185663100986.84</v>
      </c>
      <c r="AA78">
        <v>198483276615349.41</v>
      </c>
      <c r="AB78">
        <v>199450617395805.03</v>
      </c>
      <c r="AC78">
        <v>200868509330150.09</v>
      </c>
      <c r="AD78">
        <v>202046902982305.25</v>
      </c>
      <c r="AE78">
        <v>203313623819964.84</v>
      </c>
      <c r="AF78">
        <v>204590882281993.63</v>
      </c>
      <c r="AG78">
        <v>206195346728458.97</v>
      </c>
      <c r="AH78">
        <v>207590322686761.56</v>
      </c>
      <c r="AI78">
        <v>209283836658827.19</v>
      </c>
    </row>
    <row r="80" spans="1:35">
      <c r="A80" s="1" t="s">
        <v>1008</v>
      </c>
    </row>
    <row r="81" spans="1:35">
      <c r="A81" t="s">
        <v>574</v>
      </c>
      <c r="B81">
        <v>2017</v>
      </c>
      <c r="C81">
        <v>2018</v>
      </c>
      <c r="D81">
        <v>2019</v>
      </c>
      <c r="E81">
        <v>2020</v>
      </c>
      <c r="F81">
        <v>2021</v>
      </c>
      <c r="G81">
        <v>2022</v>
      </c>
      <c r="H81">
        <v>2023</v>
      </c>
      <c r="I81">
        <v>2024</v>
      </c>
      <c r="J81">
        <v>2025</v>
      </c>
      <c r="K81">
        <v>2026</v>
      </c>
      <c r="L81">
        <v>2027</v>
      </c>
      <c r="M81">
        <v>2028</v>
      </c>
      <c r="N81">
        <v>2029</v>
      </c>
      <c r="O81">
        <v>2030</v>
      </c>
      <c r="P81">
        <v>2031</v>
      </c>
      <c r="Q81">
        <v>2032</v>
      </c>
      <c r="R81">
        <v>2033</v>
      </c>
      <c r="S81">
        <v>2034</v>
      </c>
      <c r="T81">
        <v>2035</v>
      </c>
      <c r="U81">
        <v>2036</v>
      </c>
      <c r="V81">
        <v>2037</v>
      </c>
      <c r="W81">
        <v>2038</v>
      </c>
      <c r="X81">
        <v>2039</v>
      </c>
      <c r="Y81">
        <v>2040</v>
      </c>
      <c r="Z81">
        <v>2041</v>
      </c>
      <c r="AA81">
        <v>2042</v>
      </c>
      <c r="AB81">
        <v>2043</v>
      </c>
      <c r="AC81">
        <v>2044</v>
      </c>
      <c r="AD81">
        <v>2045</v>
      </c>
      <c r="AE81">
        <v>2046</v>
      </c>
      <c r="AF81">
        <v>2047</v>
      </c>
      <c r="AG81">
        <v>2048</v>
      </c>
      <c r="AH81">
        <v>2049</v>
      </c>
      <c r="AI81">
        <v>2050</v>
      </c>
    </row>
    <row r="82" spans="1:35">
      <c r="A82" t="s">
        <v>566</v>
      </c>
      <c r="B82">
        <v>669813000000</v>
      </c>
      <c r="C82">
        <v>802708000000</v>
      </c>
      <c r="D82">
        <v>679762000000</v>
      </c>
      <c r="E82">
        <v>292704000000</v>
      </c>
      <c r="F82">
        <v>292098000000</v>
      </c>
      <c r="G82">
        <v>288312000000</v>
      </c>
      <c r="H82">
        <v>285109000000</v>
      </c>
      <c r="I82">
        <v>279657000000</v>
      </c>
      <c r="J82">
        <v>273163000000</v>
      </c>
      <c r="K82">
        <v>269328000000</v>
      </c>
      <c r="L82">
        <v>267903999999.99997</v>
      </c>
      <c r="M82">
        <v>267291999999.99997</v>
      </c>
      <c r="N82">
        <v>267335000000</v>
      </c>
      <c r="O82">
        <v>267596000000</v>
      </c>
      <c r="P82">
        <v>269019999999.99997</v>
      </c>
      <c r="Q82">
        <v>268849999999.99997</v>
      </c>
      <c r="R82">
        <v>269135000000</v>
      </c>
      <c r="S82">
        <v>270865000000.00003</v>
      </c>
      <c r="T82">
        <v>272248000000</v>
      </c>
      <c r="U82">
        <v>272318999999.99997</v>
      </c>
      <c r="V82">
        <v>273531000000.00003</v>
      </c>
      <c r="W82">
        <v>274596999999.99997</v>
      </c>
      <c r="X82">
        <v>274685000000</v>
      </c>
      <c r="Y82">
        <v>275356000000</v>
      </c>
      <c r="Z82">
        <v>275918000000</v>
      </c>
      <c r="AA82">
        <v>275845000000</v>
      </c>
      <c r="AB82">
        <v>276283000000</v>
      </c>
      <c r="AC82">
        <v>277452000000</v>
      </c>
      <c r="AD82">
        <v>278949000000</v>
      </c>
      <c r="AE82">
        <v>280279000000</v>
      </c>
      <c r="AF82">
        <v>281615000000</v>
      </c>
      <c r="AG82">
        <v>282943000000</v>
      </c>
      <c r="AH82">
        <v>284736000000</v>
      </c>
      <c r="AI82">
        <v>287958000000</v>
      </c>
    </row>
    <row r="83" spans="1:35">
      <c r="A83" t="s">
        <v>567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row>
    <row r="84" spans="1:35">
      <c r="A84" t="s">
        <v>568</v>
      </c>
      <c r="B84">
        <v>332549000000</v>
      </c>
      <c r="C84">
        <v>401983000000</v>
      </c>
      <c r="D84">
        <v>338080000000</v>
      </c>
      <c r="E84">
        <v>145824000000</v>
      </c>
      <c r="F84">
        <v>140937000000</v>
      </c>
      <c r="G84">
        <v>135390000000.00002</v>
      </c>
      <c r="H84">
        <v>132011999999.99998</v>
      </c>
      <c r="I84">
        <v>128888000000</v>
      </c>
      <c r="J84">
        <v>126100999999.99998</v>
      </c>
      <c r="K84">
        <v>124225000000</v>
      </c>
      <c r="L84">
        <v>121563000000</v>
      </c>
      <c r="M84">
        <v>119242000000</v>
      </c>
      <c r="N84">
        <v>117538000000</v>
      </c>
      <c r="O84">
        <v>116271000000</v>
      </c>
      <c r="P84">
        <v>115220000000</v>
      </c>
      <c r="Q84">
        <v>114228000000</v>
      </c>
      <c r="R84">
        <v>113150000000</v>
      </c>
      <c r="S84">
        <v>111844000000</v>
      </c>
      <c r="T84">
        <v>110556000000</v>
      </c>
      <c r="U84">
        <v>109197000000</v>
      </c>
      <c r="V84">
        <v>108198000000</v>
      </c>
      <c r="W84">
        <v>107086000000</v>
      </c>
      <c r="X84">
        <v>105932000000</v>
      </c>
      <c r="Y84">
        <v>104613000000</v>
      </c>
      <c r="Z84">
        <v>103280000000</v>
      </c>
      <c r="AA84">
        <v>101679000000</v>
      </c>
      <c r="AB84">
        <v>100068000000</v>
      </c>
      <c r="AC84">
        <v>98284000000</v>
      </c>
      <c r="AD84">
        <v>96870000000</v>
      </c>
      <c r="AE84">
        <v>95295000000</v>
      </c>
      <c r="AF84">
        <v>93864000000</v>
      </c>
      <c r="AG84">
        <v>92287000000</v>
      </c>
      <c r="AH84">
        <v>91269000000</v>
      </c>
      <c r="AI84">
        <v>90466000000</v>
      </c>
    </row>
    <row r="85" spans="1:35">
      <c r="A85" t="s">
        <v>569</v>
      </c>
      <c r="B85">
        <v>3068815724000000</v>
      </c>
      <c r="C85">
        <v>3253687538000000</v>
      </c>
      <c r="D85">
        <v>3497869314000000</v>
      </c>
      <c r="E85">
        <v>3670652534000000</v>
      </c>
      <c r="F85">
        <v>3927131038000000</v>
      </c>
      <c r="G85">
        <v>4066781778000000</v>
      </c>
      <c r="H85">
        <v>4163753148000000</v>
      </c>
      <c r="I85">
        <v>4278889992000000</v>
      </c>
      <c r="J85">
        <v>4359836095000000</v>
      </c>
      <c r="K85">
        <v>4415797073000000</v>
      </c>
      <c r="L85">
        <v>4541436046000000</v>
      </c>
      <c r="M85">
        <v>4614628029000000</v>
      </c>
      <c r="N85">
        <v>4716126887000000</v>
      </c>
      <c r="O85">
        <v>4760060747000000</v>
      </c>
      <c r="P85">
        <v>4830574241000000</v>
      </c>
      <c r="Q85">
        <v>4901805157000000</v>
      </c>
      <c r="R85">
        <v>4955440042000000</v>
      </c>
      <c r="S85">
        <v>4946779037000000</v>
      </c>
      <c r="T85">
        <v>4984801734000000</v>
      </c>
      <c r="U85">
        <v>5040166219000000</v>
      </c>
      <c r="V85">
        <v>5056768424000000</v>
      </c>
      <c r="W85">
        <v>5137613819000000</v>
      </c>
      <c r="X85">
        <v>5179509352000000</v>
      </c>
      <c r="Y85">
        <v>5201397261000000</v>
      </c>
      <c r="Z85">
        <v>5243818412000000</v>
      </c>
      <c r="AA85">
        <v>5293726158000000</v>
      </c>
      <c r="AB85">
        <v>5284621086000000</v>
      </c>
      <c r="AC85">
        <v>5322665644000000</v>
      </c>
      <c r="AD85">
        <v>5343507737000000</v>
      </c>
      <c r="AE85">
        <v>5380095295000000</v>
      </c>
      <c r="AF85">
        <v>5415793552000000</v>
      </c>
      <c r="AG85">
        <v>5488193876000000</v>
      </c>
      <c r="AH85">
        <v>5496238959000000</v>
      </c>
      <c r="AI85">
        <v>5537611862000000</v>
      </c>
    </row>
    <row r="86" spans="1:35">
      <c r="A86" t="s">
        <v>570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row>
    <row r="87" spans="1:35">
      <c r="A87" t="s">
        <v>571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row>
    <row r="88" spans="1:35">
      <c r="A88" t="s">
        <v>572</v>
      </c>
      <c r="B88">
        <v>176057953000000</v>
      </c>
      <c r="C88">
        <v>208674500000000</v>
      </c>
      <c r="D88">
        <v>174269867000000</v>
      </c>
      <c r="E88">
        <v>96253006000000</v>
      </c>
      <c r="F88">
        <v>97205673000000</v>
      </c>
      <c r="G88">
        <v>98011398000000</v>
      </c>
      <c r="H88">
        <v>98614120000000</v>
      </c>
      <c r="I88">
        <v>99011002000000</v>
      </c>
      <c r="J88">
        <v>99373276000000</v>
      </c>
      <c r="K88">
        <v>99820709000000</v>
      </c>
      <c r="L88">
        <v>100091644000000</v>
      </c>
      <c r="M88">
        <v>100430336000000</v>
      </c>
      <c r="N88">
        <v>100711746000000</v>
      </c>
      <c r="O88">
        <v>100957764000000</v>
      </c>
      <c r="P88">
        <v>101451614000000</v>
      </c>
      <c r="Q88">
        <v>102535294000000</v>
      </c>
      <c r="R88">
        <v>102833359000000</v>
      </c>
      <c r="S88">
        <v>103276527000000</v>
      </c>
      <c r="T88">
        <v>103782516000000</v>
      </c>
      <c r="U88">
        <v>104255402000000</v>
      </c>
      <c r="V88">
        <v>105003464000000</v>
      </c>
      <c r="W88">
        <v>105759308000000</v>
      </c>
      <c r="X88">
        <v>106435150000000</v>
      </c>
      <c r="Y88">
        <v>107040192000000</v>
      </c>
      <c r="Z88">
        <v>107543884000000</v>
      </c>
      <c r="AA88">
        <v>108111969000000</v>
      </c>
      <c r="AB88">
        <v>108717964000000</v>
      </c>
      <c r="AC88">
        <v>109368301000000</v>
      </c>
      <c r="AD88">
        <v>110082008000000</v>
      </c>
      <c r="AE88">
        <v>110834000000000</v>
      </c>
      <c r="AF88">
        <v>111597519000000</v>
      </c>
      <c r="AG88">
        <v>112412437000000</v>
      </c>
      <c r="AH88">
        <v>113220177000000</v>
      </c>
      <c r="AI88">
        <v>113977699000000</v>
      </c>
    </row>
    <row r="89" spans="1:35">
      <c r="A89" t="s">
        <v>573</v>
      </c>
      <c r="B89">
        <v>243595961000000</v>
      </c>
      <c r="C89">
        <v>289305271000000</v>
      </c>
      <c r="D89">
        <v>249514977000000</v>
      </c>
      <c r="E89">
        <v>94928932000000</v>
      </c>
      <c r="F89">
        <v>94120254000000</v>
      </c>
      <c r="G89">
        <v>93619122000000</v>
      </c>
      <c r="H89">
        <v>93333611000000</v>
      </c>
      <c r="I89">
        <v>92977461000000</v>
      </c>
      <c r="J89">
        <v>93291365000000</v>
      </c>
      <c r="K89">
        <v>93684665000000</v>
      </c>
      <c r="L89">
        <v>93987843000000</v>
      </c>
      <c r="M89">
        <v>94777101000000</v>
      </c>
      <c r="N89">
        <v>95445494000000</v>
      </c>
      <c r="O89">
        <v>96151622000000</v>
      </c>
      <c r="P89">
        <v>97053905000000</v>
      </c>
      <c r="Q89">
        <v>97731471000000</v>
      </c>
      <c r="R89">
        <v>98353314000000</v>
      </c>
      <c r="S89">
        <v>99328727000000</v>
      </c>
      <c r="T89">
        <v>100350946000000</v>
      </c>
      <c r="U89">
        <v>101172863000000</v>
      </c>
      <c r="V89">
        <v>102074383000000</v>
      </c>
      <c r="W89">
        <v>103072190000000</v>
      </c>
      <c r="X89">
        <v>103752881000000</v>
      </c>
      <c r="Y89">
        <v>104650578000000</v>
      </c>
      <c r="Z89">
        <v>105703506000000</v>
      </c>
      <c r="AA89">
        <v>106499349000000</v>
      </c>
      <c r="AB89">
        <v>107514599000000</v>
      </c>
      <c r="AC89">
        <v>108720319000000</v>
      </c>
      <c r="AD89">
        <v>109924436000000</v>
      </c>
      <c r="AE89">
        <v>111287131000000</v>
      </c>
      <c r="AF89">
        <v>112608450000000</v>
      </c>
      <c r="AG89">
        <v>113858457000000</v>
      </c>
      <c r="AH89">
        <v>114961859000000</v>
      </c>
      <c r="AI89">
        <v>116188015000000</v>
      </c>
    </row>
    <row r="93" spans="1:35">
      <c r="A93" t="s">
        <v>1181</v>
      </c>
      <c r="C93" t="s">
        <v>1182</v>
      </c>
    </row>
    <row r="94" spans="1:35">
      <c r="A94" t="s">
        <v>813</v>
      </c>
      <c r="B94" s="5">
        <v>157322937000000</v>
      </c>
      <c r="C94">
        <f>B94/SUM($B$94:$B$101)</f>
        <v>0.15254431532041066</v>
      </c>
    </row>
    <row r="95" spans="1:35">
      <c r="A95" t="s">
        <v>796</v>
      </c>
      <c r="B95" s="21">
        <v>0</v>
      </c>
      <c r="C95" s="5">
        <f t="shared" ref="C95:C101" si="0">B95/SUM($B$94:$B$101)</f>
        <v>0</v>
      </c>
    </row>
    <row r="96" spans="1:35">
      <c r="A96" t="s">
        <v>797</v>
      </c>
      <c r="B96" s="21">
        <v>69368279000000</v>
      </c>
      <c r="C96" s="21">
        <f>B96/SUM($B$94:$B$101)</f>
        <v>6.7261245097466116E-2</v>
      </c>
    </row>
    <row r="97" spans="1:3">
      <c r="A97" t="s">
        <v>339</v>
      </c>
      <c r="B97" s="5">
        <v>0</v>
      </c>
      <c r="C97" s="5">
        <f t="shared" si="0"/>
        <v>0</v>
      </c>
    </row>
    <row r="98" spans="1:3">
      <c r="A98" t="s">
        <v>814</v>
      </c>
      <c r="B98" s="5">
        <v>568286225000000</v>
      </c>
      <c r="C98" s="5">
        <f t="shared" si="0"/>
        <v>0.55102475679465501</v>
      </c>
    </row>
    <row r="99" spans="1:3">
      <c r="A99" t="s">
        <v>1178</v>
      </c>
      <c r="B99">
        <v>0</v>
      </c>
      <c r="C99" s="5">
        <f t="shared" si="0"/>
        <v>0</v>
      </c>
    </row>
    <row r="100" spans="1:3">
      <c r="A100" t="s">
        <v>1179</v>
      </c>
      <c r="B100" s="5">
        <v>60290727000000</v>
      </c>
      <c r="C100" s="5">
        <f t="shared" si="0"/>
        <v>5.8459420131374722E-2</v>
      </c>
    </row>
    <row r="101" spans="1:3">
      <c r="A101" t="s">
        <v>1180</v>
      </c>
      <c r="B101" s="5">
        <v>176057953000000</v>
      </c>
      <c r="C101" s="5">
        <f t="shared" si="0"/>
        <v>0.17071026265609343</v>
      </c>
    </row>
    <row r="103" spans="1:3">
      <c r="A103" t="s">
        <v>1183</v>
      </c>
    </row>
    <row r="104" spans="1:3">
      <c r="A104" s="5" t="s">
        <v>813</v>
      </c>
      <c r="B104" s="5">
        <v>81383502356935.734</v>
      </c>
      <c r="C104">
        <f>B104/SUM($B$104:$B$111)</f>
        <v>0.25440473051037005</v>
      </c>
    </row>
    <row r="105" spans="1:3">
      <c r="A105" s="5" t="s">
        <v>796</v>
      </c>
      <c r="B105" s="21">
        <v>95212341000000</v>
      </c>
      <c r="C105" s="5">
        <f t="shared" ref="C105:C111" si="1">B105/SUM($B$104:$B$111)</f>
        <v>0.2976336634804726</v>
      </c>
    </row>
    <row r="106" spans="1:3">
      <c r="A106" s="5" t="s">
        <v>797</v>
      </c>
      <c r="B106" s="21">
        <v>56865602537587.547</v>
      </c>
      <c r="C106" s="5">
        <f t="shared" si="1"/>
        <v>0.17776180515597909</v>
      </c>
    </row>
    <row r="107" spans="1:3">
      <c r="A107" s="5" t="s">
        <v>339</v>
      </c>
      <c r="B107" s="5">
        <v>0</v>
      </c>
      <c r="C107" s="5">
        <f t="shared" si="1"/>
        <v>0</v>
      </c>
    </row>
    <row r="108" spans="1:3">
      <c r="A108" s="5" t="s">
        <v>814</v>
      </c>
      <c r="B108" s="5">
        <v>68899328977004.102</v>
      </c>
      <c r="C108" s="5">
        <f t="shared" si="1"/>
        <v>0.21537921953596342</v>
      </c>
    </row>
    <row r="109" spans="1:3">
      <c r="A109" s="5" t="s">
        <v>1178</v>
      </c>
      <c r="B109">
        <v>0</v>
      </c>
      <c r="C109" s="5">
        <f t="shared" si="1"/>
        <v>0</v>
      </c>
    </row>
    <row r="110" spans="1:3">
      <c r="A110" s="5" t="s">
        <v>1179</v>
      </c>
      <c r="B110" s="5">
        <v>17536980935408.6</v>
      </c>
      <c r="C110" s="5">
        <f t="shared" si="1"/>
        <v>5.4820581317214609E-2</v>
      </c>
    </row>
    <row r="111" spans="1:3">
      <c r="A111" s="5" t="s">
        <v>1180</v>
      </c>
      <c r="B111" s="5">
        <v>0</v>
      </c>
      <c r="C111" s="5">
        <f t="shared" si="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4"/>
  <sheetViews>
    <sheetView workbookViewId="0">
      <pane ySplit="1" topLeftCell="A112" activePane="bottomLeft" state="frozen"/>
      <selection pane="bottomLeft" activeCell="AF147" sqref="AF147"/>
    </sheetView>
  </sheetViews>
  <sheetFormatPr defaultColWidth="8.796875" defaultRowHeight="14.25"/>
  <cols>
    <col min="1" max="1" width="41" customWidth="1"/>
    <col min="2" max="2" width="41" style="5" customWidth="1"/>
    <col min="3" max="36" width="9.1328125" customWidth="1"/>
  </cols>
  <sheetData>
    <row r="1" spans="1:36" ht="14.65" thickBot="1">
      <c r="A1" s="1" t="s">
        <v>0</v>
      </c>
      <c r="B1" s="1" t="s">
        <v>344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6" s="8" customFormat="1" ht="14.65" thickTop="1">
      <c r="A2" s="2" t="s">
        <v>82</v>
      </c>
      <c r="B2" s="2"/>
    </row>
    <row r="3" spans="1:36" s="9" customFormat="1" ht="15" customHeight="1">
      <c r="A3" s="12" t="s">
        <v>12</v>
      </c>
      <c r="B3" s="68" t="str">
        <f>About!C93</f>
        <v>Petroleum Diesel</v>
      </c>
      <c r="C3" s="13">
        <v>14.138431000000001</v>
      </c>
      <c r="D3" s="13">
        <v>15.572227</v>
      </c>
      <c r="E3" s="13">
        <v>15.620759</v>
      </c>
      <c r="F3" s="13">
        <v>16.397696</v>
      </c>
      <c r="G3" s="13">
        <v>16.950479999999999</v>
      </c>
      <c r="H3" s="13">
        <v>17.432590000000001</v>
      </c>
      <c r="I3" s="13">
        <v>17.698060999999999</v>
      </c>
      <c r="J3" s="13">
        <v>17.816078000000001</v>
      </c>
      <c r="K3" s="13">
        <v>17.913336000000001</v>
      </c>
      <c r="L3" s="13">
        <v>18.135717</v>
      </c>
      <c r="M3" s="13">
        <v>18.258617000000001</v>
      </c>
      <c r="N3" s="13">
        <v>18.527752</v>
      </c>
      <c r="O3" s="13">
        <v>18.567302999999999</v>
      </c>
      <c r="P3" s="13">
        <v>18.875216999999999</v>
      </c>
      <c r="Q3" s="13">
        <v>19.242215999999999</v>
      </c>
      <c r="R3" s="13">
        <v>19.538059000000001</v>
      </c>
      <c r="S3" s="13">
        <v>19.675968000000001</v>
      </c>
      <c r="T3" s="13">
        <v>20.223763000000002</v>
      </c>
      <c r="U3" s="13">
        <v>20.696076999999999</v>
      </c>
      <c r="V3" s="13">
        <v>20.989719000000001</v>
      </c>
      <c r="W3" s="13">
        <v>21.424579999999999</v>
      </c>
      <c r="X3" s="13">
        <v>21.856983</v>
      </c>
      <c r="Y3" s="13">
        <v>22.039871000000002</v>
      </c>
      <c r="Z3" s="13">
        <v>22.439035000000001</v>
      </c>
      <c r="AA3" s="13">
        <v>22.989891</v>
      </c>
      <c r="AB3" s="13">
        <v>23.364466</v>
      </c>
      <c r="AC3" s="13">
        <v>23.727817999999999</v>
      </c>
      <c r="AD3" s="13">
        <v>24.290876000000001</v>
      </c>
      <c r="AE3" s="13">
        <v>24.696815000000001</v>
      </c>
      <c r="AF3" s="13">
        <v>25.079277000000001</v>
      </c>
      <c r="AG3" s="13">
        <v>25.487309</v>
      </c>
      <c r="AH3" s="13">
        <v>25.840859999999999</v>
      </c>
      <c r="AI3" s="13">
        <v>26.062746000000001</v>
      </c>
      <c r="AJ3" s="13">
        <v>26.49859</v>
      </c>
    </row>
    <row r="4" spans="1:36" s="9" customFormat="1" ht="15" customHeight="1">
      <c r="A4" s="12" t="s">
        <v>13</v>
      </c>
      <c r="B4" s="68" t="str">
        <f>About!C94</f>
        <v>Heavy or Residual Oil</v>
      </c>
      <c r="C4" s="13">
        <v>2.87887</v>
      </c>
      <c r="D4" s="13">
        <v>2.6198130000000002</v>
      </c>
      <c r="E4" s="13">
        <v>2.4479839999999999</v>
      </c>
      <c r="F4" s="13">
        <v>2.5495719999999999</v>
      </c>
      <c r="G4" s="13">
        <v>2.6444260000000002</v>
      </c>
      <c r="H4" s="13">
        <v>2.7002799999999998</v>
      </c>
      <c r="I4" s="13">
        <v>2.7492890000000001</v>
      </c>
      <c r="J4" s="13">
        <v>2.7946589999999998</v>
      </c>
      <c r="K4" s="13">
        <v>2.8408329999999999</v>
      </c>
      <c r="L4" s="13">
        <v>2.8730560000000001</v>
      </c>
      <c r="M4" s="13">
        <v>2.903794</v>
      </c>
      <c r="N4" s="13">
        <v>2.940947</v>
      </c>
      <c r="O4" s="13">
        <v>2.9708519999999998</v>
      </c>
      <c r="P4" s="13">
        <v>2.9941330000000002</v>
      </c>
      <c r="Q4" s="13">
        <v>3.0220729999999998</v>
      </c>
      <c r="R4" s="13">
        <v>3.0489449999999998</v>
      </c>
      <c r="S4" s="13">
        <v>3.0707309999999999</v>
      </c>
      <c r="T4" s="13">
        <v>3.1084580000000002</v>
      </c>
      <c r="U4" s="13">
        <v>3.1347109999999998</v>
      </c>
      <c r="V4" s="13">
        <v>3.1642489999999999</v>
      </c>
      <c r="W4" s="13">
        <v>3.199767</v>
      </c>
      <c r="X4" s="13">
        <v>3.2331080000000001</v>
      </c>
      <c r="Y4" s="13">
        <v>3.2564709999999999</v>
      </c>
      <c r="Z4" s="13">
        <v>3.2897400000000001</v>
      </c>
      <c r="AA4" s="13">
        <v>3.330247</v>
      </c>
      <c r="AB4" s="13">
        <v>3.3636970000000002</v>
      </c>
      <c r="AC4" s="13">
        <v>3.3990239999999998</v>
      </c>
      <c r="AD4" s="13">
        <v>3.4425029999999999</v>
      </c>
      <c r="AE4" s="13">
        <v>3.4818549999999999</v>
      </c>
      <c r="AF4" s="13">
        <v>3.5195439999999998</v>
      </c>
      <c r="AG4" s="13">
        <v>3.560343</v>
      </c>
      <c r="AH4" s="13">
        <v>3.599958</v>
      </c>
      <c r="AI4" s="13">
        <v>3.6350850000000001</v>
      </c>
      <c r="AJ4" s="13">
        <v>3.6794600000000002</v>
      </c>
    </row>
    <row r="5" spans="1:36" s="9" customFormat="1" ht="15" customHeight="1">
      <c r="A5" s="12" t="s">
        <v>80</v>
      </c>
      <c r="B5" s="68" t="str">
        <f>About!C90</f>
        <v>LPG/propane/butane</v>
      </c>
      <c r="C5" s="13">
        <v>0.66981299999999999</v>
      </c>
      <c r="D5" s="13">
        <v>0.80270799999999998</v>
      </c>
      <c r="E5" s="13">
        <v>0.67976199999999998</v>
      </c>
      <c r="F5" s="13">
        <v>0.29270400000000002</v>
      </c>
      <c r="G5" s="13">
        <v>0.29209800000000002</v>
      </c>
      <c r="H5" s="13">
        <v>0.28831200000000001</v>
      </c>
      <c r="I5" s="13">
        <v>0.285109</v>
      </c>
      <c r="J5" s="13">
        <v>0.27965699999999999</v>
      </c>
      <c r="K5" s="13">
        <v>0.27316299999999999</v>
      </c>
      <c r="L5" s="13">
        <v>0.26932800000000001</v>
      </c>
      <c r="M5" s="13">
        <v>0.26790399999999998</v>
      </c>
      <c r="N5" s="13">
        <v>0.26729199999999997</v>
      </c>
      <c r="O5" s="13">
        <v>0.26733499999999999</v>
      </c>
      <c r="P5" s="13">
        <v>0.267596</v>
      </c>
      <c r="Q5" s="13">
        <v>0.26901999999999998</v>
      </c>
      <c r="R5" s="13">
        <v>0.26884999999999998</v>
      </c>
      <c r="S5" s="13">
        <v>0.26913500000000001</v>
      </c>
      <c r="T5" s="13">
        <v>0.27086500000000002</v>
      </c>
      <c r="U5" s="13">
        <v>0.27224799999999999</v>
      </c>
      <c r="V5" s="13">
        <v>0.27231899999999998</v>
      </c>
      <c r="W5" s="13">
        <v>0.27353100000000002</v>
      </c>
      <c r="X5" s="13">
        <v>0.27459699999999998</v>
      </c>
      <c r="Y5" s="13">
        <v>0.27468500000000001</v>
      </c>
      <c r="Z5" s="13">
        <v>0.27535599999999999</v>
      </c>
      <c r="AA5" s="13">
        <v>0.275918</v>
      </c>
      <c r="AB5" s="13">
        <v>0.27584500000000001</v>
      </c>
      <c r="AC5" s="13">
        <v>0.276283</v>
      </c>
      <c r="AD5" s="13">
        <v>0.27745199999999998</v>
      </c>
      <c r="AE5" s="13">
        <v>0.278949</v>
      </c>
      <c r="AF5" s="13">
        <v>0.280279</v>
      </c>
      <c r="AG5" s="13">
        <v>0.281615</v>
      </c>
      <c r="AH5" s="13">
        <v>0.282943</v>
      </c>
      <c r="AI5" s="13">
        <v>0.28473599999999999</v>
      </c>
      <c r="AJ5" s="13">
        <v>0.28795799999999999</v>
      </c>
    </row>
    <row r="6" spans="1:36" s="9" customFormat="1" ht="15" customHeight="1">
      <c r="A6" s="12" t="s">
        <v>15</v>
      </c>
      <c r="B6" s="68" t="str">
        <f>About!C96</f>
        <v>Petroleum Diesel</v>
      </c>
      <c r="C6" s="13">
        <v>31.214072999999999</v>
      </c>
      <c r="D6" s="13">
        <v>35.649841000000002</v>
      </c>
      <c r="E6" s="13">
        <v>33.666831999999999</v>
      </c>
      <c r="F6" s="13">
        <v>34.059596999999997</v>
      </c>
      <c r="G6" s="13">
        <v>34.138897</v>
      </c>
      <c r="H6" s="13">
        <v>33.717078999999998</v>
      </c>
      <c r="I6" s="13">
        <v>33.448993999999999</v>
      </c>
      <c r="J6" s="13">
        <v>33.150607999999998</v>
      </c>
      <c r="K6" s="13">
        <v>32.830482000000003</v>
      </c>
      <c r="L6" s="13">
        <v>32.371597000000001</v>
      </c>
      <c r="M6" s="13">
        <v>31.906905999999999</v>
      </c>
      <c r="N6" s="13">
        <v>31.562411999999998</v>
      </c>
      <c r="O6" s="13">
        <v>31.235876000000001</v>
      </c>
      <c r="P6" s="13">
        <v>30.818007000000001</v>
      </c>
      <c r="Q6" s="13">
        <v>30.698273</v>
      </c>
      <c r="R6" s="13">
        <v>30.524588000000001</v>
      </c>
      <c r="S6" s="13">
        <v>30.416103</v>
      </c>
      <c r="T6" s="13">
        <v>30.281815999999999</v>
      </c>
      <c r="U6" s="13">
        <v>29.119617000000002</v>
      </c>
      <c r="V6" s="13">
        <v>29.710449000000001</v>
      </c>
      <c r="W6" s="13">
        <v>30.326715</v>
      </c>
      <c r="X6" s="13">
        <v>30.784737</v>
      </c>
      <c r="Y6" s="13">
        <v>31.076881</v>
      </c>
      <c r="Z6" s="13">
        <v>31.470186000000002</v>
      </c>
      <c r="AA6" s="13">
        <v>31.873653000000001</v>
      </c>
      <c r="AB6" s="13">
        <v>32.192017</v>
      </c>
      <c r="AC6" s="13">
        <v>32.616439999999997</v>
      </c>
      <c r="AD6" s="13">
        <v>32.966675000000002</v>
      </c>
      <c r="AE6" s="13">
        <v>33.412579000000001</v>
      </c>
      <c r="AF6" s="13">
        <v>33.732399000000001</v>
      </c>
      <c r="AG6" s="13">
        <v>34.132511000000001</v>
      </c>
      <c r="AH6" s="13">
        <v>34.529598</v>
      </c>
      <c r="AI6" s="13">
        <v>34.935882999999997</v>
      </c>
      <c r="AJ6" s="13">
        <v>35.348357999999998</v>
      </c>
    </row>
    <row r="7" spans="1:36" s="9" customFormat="1" ht="15" customHeight="1">
      <c r="A7" s="12" t="s">
        <v>16</v>
      </c>
      <c r="B7" s="68" t="str">
        <f>About!C98</f>
        <v>Heavy or Residual Oil</v>
      </c>
      <c r="C7" s="13">
        <v>4.1041259999999999</v>
      </c>
      <c r="D7" s="13">
        <v>4.625095</v>
      </c>
      <c r="E7" s="13">
        <v>4.0627529999999998</v>
      </c>
      <c r="F7" s="13">
        <v>3.9591630000000002</v>
      </c>
      <c r="G7" s="13">
        <v>3.8477190000000001</v>
      </c>
      <c r="H7" s="13">
        <v>3.7816019999999999</v>
      </c>
      <c r="I7" s="13">
        <v>3.7256360000000002</v>
      </c>
      <c r="J7" s="13">
        <v>3.6763340000000002</v>
      </c>
      <c r="K7" s="13">
        <v>3.6363310000000002</v>
      </c>
      <c r="L7" s="13">
        <v>3.6353390000000001</v>
      </c>
      <c r="M7" s="13">
        <v>3.6525449999999999</v>
      </c>
      <c r="N7" s="13">
        <v>3.7001390000000001</v>
      </c>
      <c r="O7" s="13">
        <v>3.7677800000000001</v>
      </c>
      <c r="P7" s="13">
        <v>3.8914049999999998</v>
      </c>
      <c r="Q7" s="13">
        <v>4.0626959999999999</v>
      </c>
      <c r="R7" s="13">
        <v>4.2461630000000001</v>
      </c>
      <c r="S7" s="13">
        <v>4.4537399999999998</v>
      </c>
      <c r="T7" s="13">
        <v>4.670439</v>
      </c>
      <c r="U7" s="13">
        <v>4.7531540000000003</v>
      </c>
      <c r="V7" s="13">
        <v>4.9725760000000001</v>
      </c>
      <c r="W7" s="13">
        <v>5.2111070000000002</v>
      </c>
      <c r="X7" s="13">
        <v>5.4276869999999997</v>
      </c>
      <c r="Y7" s="13">
        <v>5.6300650000000001</v>
      </c>
      <c r="Z7" s="13">
        <v>5.8511610000000003</v>
      </c>
      <c r="AA7" s="13">
        <v>6.0870519999999999</v>
      </c>
      <c r="AB7" s="13">
        <v>6.3190179999999998</v>
      </c>
      <c r="AC7" s="13">
        <v>6.5898849999999998</v>
      </c>
      <c r="AD7" s="13">
        <v>6.8653529999999998</v>
      </c>
      <c r="AE7" s="13">
        <v>7.1724019999999999</v>
      </c>
      <c r="AF7" s="13">
        <v>7.4695280000000004</v>
      </c>
      <c r="AG7" s="13">
        <v>7.8012079999999999</v>
      </c>
      <c r="AH7" s="13">
        <v>8.1429419999999997</v>
      </c>
      <c r="AI7" s="13">
        <v>8.5035799999999995</v>
      </c>
      <c r="AJ7" s="13">
        <v>8.8778109999999995</v>
      </c>
    </row>
    <row r="8" spans="1:36" s="9" customFormat="1" ht="15" customHeight="1">
      <c r="A8" s="12" t="s">
        <v>81</v>
      </c>
      <c r="B8" s="68"/>
      <c r="C8" s="13">
        <v>53.005313999999998</v>
      </c>
      <c r="D8" s="13">
        <v>59.269683999999998</v>
      </c>
      <c r="E8" s="13">
        <v>56.478088</v>
      </c>
      <c r="F8" s="13">
        <v>57.258732000000002</v>
      </c>
      <c r="G8" s="13">
        <v>57.873618999999998</v>
      </c>
      <c r="H8" s="13">
        <v>57.919865000000001</v>
      </c>
      <c r="I8" s="13">
        <v>57.907088999999999</v>
      </c>
      <c r="J8" s="13">
        <v>57.717334999999999</v>
      </c>
      <c r="K8" s="13">
        <v>57.494148000000003</v>
      </c>
      <c r="L8" s="13">
        <v>57.285038</v>
      </c>
      <c r="M8" s="13">
        <v>56.989764999999998</v>
      </c>
      <c r="N8" s="13">
        <v>56.998539000000001</v>
      </c>
      <c r="O8" s="13">
        <v>56.809142999999999</v>
      </c>
      <c r="P8" s="13">
        <v>56.846359</v>
      </c>
      <c r="Q8" s="13">
        <v>57.294280999999998</v>
      </c>
      <c r="R8" s="13">
        <v>57.626606000000002</v>
      </c>
      <c r="S8" s="13">
        <v>57.885677000000001</v>
      </c>
      <c r="T8" s="13">
        <v>58.555343999999998</v>
      </c>
      <c r="U8" s="13">
        <v>57.975807000000003</v>
      </c>
      <c r="V8" s="13">
        <v>59.109313999999998</v>
      </c>
      <c r="W8" s="13">
        <v>60.435699</v>
      </c>
      <c r="X8" s="13">
        <v>61.577109999999998</v>
      </c>
      <c r="Y8" s="13">
        <v>62.277973000000003</v>
      </c>
      <c r="Z8" s="13">
        <v>63.325477999999997</v>
      </c>
      <c r="AA8" s="13">
        <v>64.556763000000004</v>
      </c>
      <c r="AB8" s="13">
        <v>65.515045000000001</v>
      </c>
      <c r="AC8" s="13">
        <v>66.609451000000007</v>
      </c>
      <c r="AD8" s="13">
        <v>67.842856999999995</v>
      </c>
      <c r="AE8" s="13">
        <v>69.042603</v>
      </c>
      <c r="AF8" s="13">
        <v>70.081031999999993</v>
      </c>
      <c r="AG8" s="13">
        <v>71.262985</v>
      </c>
      <c r="AH8" s="13">
        <v>72.396300999999994</v>
      </c>
      <c r="AI8" s="13">
        <v>73.422027999999997</v>
      </c>
      <c r="AJ8" s="13">
        <v>74.692177000000001</v>
      </c>
    </row>
    <row r="9" spans="1:36" s="9" customFormat="1" ht="15" customHeight="1">
      <c r="A9" s="12" t="s">
        <v>17</v>
      </c>
      <c r="B9" s="68"/>
      <c r="C9" s="13">
        <v>16.507082</v>
      </c>
      <c r="D9" s="13">
        <v>17.37059</v>
      </c>
      <c r="E9" s="13">
        <v>17.611716999999999</v>
      </c>
      <c r="F9" s="13">
        <v>18.483543000000001</v>
      </c>
      <c r="G9" s="13">
        <v>19.162293999999999</v>
      </c>
      <c r="H9" s="13">
        <v>19.796870999999999</v>
      </c>
      <c r="I9" s="13">
        <v>20.298819000000002</v>
      </c>
      <c r="J9" s="13">
        <v>20.738447000000001</v>
      </c>
      <c r="K9" s="13">
        <v>21.206968</v>
      </c>
      <c r="L9" s="13">
        <v>21.882989999999999</v>
      </c>
      <c r="M9" s="13">
        <v>22.52684</v>
      </c>
      <c r="N9" s="13">
        <v>23.465102999999999</v>
      </c>
      <c r="O9" s="13">
        <v>24.195561999999999</v>
      </c>
      <c r="P9" s="13">
        <v>25.423438999999998</v>
      </c>
      <c r="Q9" s="13">
        <v>26.930630000000001</v>
      </c>
      <c r="R9" s="13">
        <v>28.432027999999999</v>
      </c>
      <c r="S9" s="13">
        <v>29.784434999999998</v>
      </c>
      <c r="T9" s="13">
        <v>31.844107000000001</v>
      </c>
      <c r="U9" s="13">
        <v>33.822066999999997</v>
      </c>
      <c r="V9" s="13">
        <v>35.441482999999998</v>
      </c>
      <c r="W9" s="13">
        <v>37.262546999999998</v>
      </c>
      <c r="X9" s="13">
        <v>39.033729999999998</v>
      </c>
      <c r="Y9" s="13">
        <v>40.290233999999998</v>
      </c>
      <c r="Z9" s="13">
        <v>41.872456</v>
      </c>
      <c r="AA9" s="13">
        <v>43.686554000000001</v>
      </c>
      <c r="AB9" s="13">
        <v>45.142220000000002</v>
      </c>
      <c r="AC9" s="13">
        <v>46.537185999999998</v>
      </c>
      <c r="AD9" s="13">
        <v>48.237312000000003</v>
      </c>
      <c r="AE9" s="13">
        <v>49.638705999999999</v>
      </c>
      <c r="AF9" s="13">
        <v>50.928294999999999</v>
      </c>
      <c r="AG9" s="13">
        <v>52.257393</v>
      </c>
      <c r="AH9" s="13">
        <v>53.466022000000002</v>
      </c>
      <c r="AI9" s="13">
        <v>54.383484000000003</v>
      </c>
      <c r="AJ9" s="13">
        <v>55.682816000000003</v>
      </c>
    </row>
    <row r="10" spans="1:36" s="9" customFormat="1" ht="15" customHeight="1">
      <c r="A10" s="12" t="s">
        <v>18</v>
      </c>
      <c r="B10" s="68"/>
      <c r="C10" s="13">
        <v>195.12603799999999</v>
      </c>
      <c r="D10" s="13">
        <v>178.85278299999999</v>
      </c>
      <c r="E10" s="13">
        <v>176.19976800000001</v>
      </c>
      <c r="F10" s="13">
        <v>181.62579299999999</v>
      </c>
      <c r="G10" s="13">
        <v>185.41815199999999</v>
      </c>
      <c r="H10" s="13">
        <v>185.80038500000001</v>
      </c>
      <c r="I10" s="13">
        <v>185.49127200000001</v>
      </c>
      <c r="J10" s="13">
        <v>184.43182400000001</v>
      </c>
      <c r="K10" s="13">
        <v>182.70512400000001</v>
      </c>
      <c r="L10" s="13">
        <v>179.456085</v>
      </c>
      <c r="M10" s="13">
        <v>175.31257600000001</v>
      </c>
      <c r="N10" s="13">
        <v>170.935318</v>
      </c>
      <c r="O10" s="13">
        <v>165.334641</v>
      </c>
      <c r="P10" s="13">
        <v>158.80282600000001</v>
      </c>
      <c r="Q10" s="13">
        <v>152.508286</v>
      </c>
      <c r="R10" s="13">
        <v>145.875046</v>
      </c>
      <c r="S10" s="13">
        <v>138.96803299999999</v>
      </c>
      <c r="T10" s="13">
        <v>133.054092</v>
      </c>
      <c r="U10" s="13">
        <v>125.558105</v>
      </c>
      <c r="V10" s="13">
        <v>123.610001</v>
      </c>
      <c r="W10" s="13">
        <v>122.313034</v>
      </c>
      <c r="X10" s="13">
        <v>121.04338799999999</v>
      </c>
      <c r="Y10" s="13">
        <v>119.366287</v>
      </c>
      <c r="Z10" s="13">
        <v>118.550102</v>
      </c>
      <c r="AA10" s="13">
        <v>118.259201</v>
      </c>
      <c r="AB10" s="13">
        <v>117.675827</v>
      </c>
      <c r="AC10" s="13">
        <v>117.321198</v>
      </c>
      <c r="AD10" s="13">
        <v>117.325714</v>
      </c>
      <c r="AE10" s="13">
        <v>117.20509300000001</v>
      </c>
      <c r="AF10" s="13">
        <v>116.96277600000001</v>
      </c>
      <c r="AG10" s="13">
        <v>116.93940000000001</v>
      </c>
      <c r="AH10" s="13">
        <v>116.864723</v>
      </c>
      <c r="AI10" s="13">
        <v>116.585274</v>
      </c>
      <c r="AJ10" s="13">
        <v>116.766014</v>
      </c>
    </row>
    <row r="11" spans="1:36" s="9" customFormat="1" ht="15" customHeight="1">
      <c r="A11" s="12" t="s">
        <v>19</v>
      </c>
      <c r="B11" s="68"/>
      <c r="C11" s="13">
        <v>7.3781790000000003</v>
      </c>
      <c r="D11" s="13">
        <v>7.5288110000000001</v>
      </c>
      <c r="E11" s="13">
        <v>7.740945</v>
      </c>
      <c r="F11" s="13">
        <v>7.5958259999999997</v>
      </c>
      <c r="G11" s="13">
        <v>7.4513119999999997</v>
      </c>
      <c r="H11" s="13">
        <v>7.3545730000000002</v>
      </c>
      <c r="I11" s="13">
        <v>7.2583120000000001</v>
      </c>
      <c r="J11" s="13">
        <v>7.1623419999999998</v>
      </c>
      <c r="K11" s="13">
        <v>7.0675189999999999</v>
      </c>
      <c r="L11" s="13">
        <v>6.9965659999999996</v>
      </c>
      <c r="M11" s="13">
        <v>6.925948</v>
      </c>
      <c r="N11" s="13">
        <v>6.8561199999999998</v>
      </c>
      <c r="O11" s="13">
        <v>6.7860740000000002</v>
      </c>
      <c r="P11" s="13">
        <v>6.7394999999999996</v>
      </c>
      <c r="Q11" s="13">
        <v>6.6932410000000004</v>
      </c>
      <c r="R11" s="13">
        <v>6.6470200000000004</v>
      </c>
      <c r="S11" s="13">
        <v>6.6003740000000004</v>
      </c>
      <c r="T11" s="13">
        <v>6.5551130000000004</v>
      </c>
      <c r="U11" s="13">
        <v>6.5100749999999996</v>
      </c>
      <c r="V11" s="13">
        <v>6.4650759999999998</v>
      </c>
      <c r="W11" s="13">
        <v>6.4206430000000001</v>
      </c>
      <c r="X11" s="13">
        <v>6.3765539999999996</v>
      </c>
      <c r="Y11" s="13">
        <v>6.3321509999999996</v>
      </c>
      <c r="Z11" s="13">
        <v>6.2889559999999998</v>
      </c>
      <c r="AA11" s="13">
        <v>6.2465789999999997</v>
      </c>
      <c r="AB11" s="13">
        <v>6.2040839999999999</v>
      </c>
      <c r="AC11" s="13">
        <v>6.1618849999999998</v>
      </c>
      <c r="AD11" s="13">
        <v>6.1205030000000002</v>
      </c>
      <c r="AE11" s="13">
        <v>6.0790290000000002</v>
      </c>
      <c r="AF11" s="13">
        <v>6.0377890000000001</v>
      </c>
      <c r="AG11" s="13">
        <v>5.9969260000000002</v>
      </c>
      <c r="AH11" s="13">
        <v>5.9562150000000003</v>
      </c>
      <c r="AI11" s="13">
        <v>5.9154220000000004</v>
      </c>
      <c r="AJ11" s="13">
        <v>5.875432</v>
      </c>
    </row>
    <row r="12" spans="1:36" s="9" customFormat="1" ht="15" customHeight="1">
      <c r="A12" s="12" t="s">
        <v>20</v>
      </c>
      <c r="B12" s="68"/>
      <c r="C12" s="13">
        <v>202.504211</v>
      </c>
      <c r="D12" s="13">
        <v>186.38159200000001</v>
      </c>
      <c r="E12" s="13">
        <v>183.94072</v>
      </c>
      <c r="F12" s="13">
        <v>189.221619</v>
      </c>
      <c r="G12" s="13">
        <v>192.869461</v>
      </c>
      <c r="H12" s="13">
        <v>193.15495300000001</v>
      </c>
      <c r="I12" s="13">
        <v>192.74958799999999</v>
      </c>
      <c r="J12" s="13">
        <v>191.59416200000001</v>
      </c>
      <c r="K12" s="13">
        <v>189.77264400000001</v>
      </c>
      <c r="L12" s="13">
        <v>186.452652</v>
      </c>
      <c r="M12" s="13">
        <v>182.23852500000001</v>
      </c>
      <c r="N12" s="13">
        <v>177.79144299999999</v>
      </c>
      <c r="O12" s="13">
        <v>172.120712</v>
      </c>
      <c r="P12" s="13">
        <v>165.542328</v>
      </c>
      <c r="Q12" s="13">
        <v>159.20152300000001</v>
      </c>
      <c r="R12" s="13">
        <v>152.522064</v>
      </c>
      <c r="S12" s="13">
        <v>145.56840500000001</v>
      </c>
      <c r="T12" s="13">
        <v>139.609207</v>
      </c>
      <c r="U12" s="13">
        <v>132.06817599999999</v>
      </c>
      <c r="V12" s="13">
        <v>130.075073</v>
      </c>
      <c r="W12" s="13">
        <v>128.73367300000001</v>
      </c>
      <c r="X12" s="13">
        <v>127.419945</v>
      </c>
      <c r="Y12" s="13">
        <v>125.698441</v>
      </c>
      <c r="Z12" s="13">
        <v>124.83905799999999</v>
      </c>
      <c r="AA12" s="13">
        <v>124.50578299999999</v>
      </c>
      <c r="AB12" s="13">
        <v>123.879913</v>
      </c>
      <c r="AC12" s="13">
        <v>123.483086</v>
      </c>
      <c r="AD12" s="13">
        <v>123.44622</v>
      </c>
      <c r="AE12" s="13">
        <v>123.284119</v>
      </c>
      <c r="AF12" s="13">
        <v>123.00056499999999</v>
      </c>
      <c r="AG12" s="13">
        <v>122.936325</v>
      </c>
      <c r="AH12" s="13">
        <v>122.820938</v>
      </c>
      <c r="AI12" s="13">
        <v>122.500694</v>
      </c>
      <c r="AJ12" s="13">
        <v>122.64144899999999</v>
      </c>
    </row>
    <row r="13" spans="1:36" s="9" customFormat="1" ht="15" customHeight="1">
      <c r="A13" s="12" t="s">
        <v>21</v>
      </c>
      <c r="B13" s="68"/>
      <c r="C13" s="13">
        <v>66.550117</v>
      </c>
      <c r="D13" s="13">
        <v>67.710655000000003</v>
      </c>
      <c r="E13" s="13">
        <v>66.971581</v>
      </c>
      <c r="F13" s="13">
        <v>67.707886000000002</v>
      </c>
      <c r="G13" s="13">
        <v>67.611046000000002</v>
      </c>
      <c r="H13" s="13">
        <v>67.448516999999995</v>
      </c>
      <c r="I13" s="13">
        <v>67.469764999999995</v>
      </c>
      <c r="J13" s="13">
        <v>67.644142000000002</v>
      </c>
      <c r="K13" s="13">
        <v>67.652939000000003</v>
      </c>
      <c r="L13" s="13">
        <v>67.912154999999998</v>
      </c>
      <c r="M13" s="13">
        <v>68.475189</v>
      </c>
      <c r="N13" s="13">
        <v>69.407944000000001</v>
      </c>
      <c r="O13" s="13">
        <v>70.474654999999998</v>
      </c>
      <c r="P13" s="13">
        <v>72.014099000000002</v>
      </c>
      <c r="Q13" s="13">
        <v>74.404373000000007</v>
      </c>
      <c r="R13" s="13">
        <v>76.776047000000005</v>
      </c>
      <c r="S13" s="13">
        <v>79.379692000000006</v>
      </c>
      <c r="T13" s="13">
        <v>81.790512000000007</v>
      </c>
      <c r="U13" s="13">
        <v>80.686424000000002</v>
      </c>
      <c r="V13" s="13">
        <v>84.045852999999994</v>
      </c>
      <c r="W13" s="13">
        <v>87.521133000000006</v>
      </c>
      <c r="X13" s="13">
        <v>90.227958999999998</v>
      </c>
      <c r="Y13" s="13">
        <v>92.548644999999993</v>
      </c>
      <c r="Z13" s="13">
        <v>95.062163999999996</v>
      </c>
      <c r="AA13" s="13">
        <v>97.613838000000001</v>
      </c>
      <c r="AB13" s="13">
        <v>99.930817000000005</v>
      </c>
      <c r="AC13" s="13">
        <v>102.667992</v>
      </c>
      <c r="AD13" s="13">
        <v>105.149551</v>
      </c>
      <c r="AE13" s="13">
        <v>107.93377700000001</v>
      </c>
      <c r="AF13" s="13">
        <v>110.284592</v>
      </c>
      <c r="AG13" s="13">
        <v>112.92482</v>
      </c>
      <c r="AH13" s="13">
        <v>115.571968</v>
      </c>
      <c r="AI13" s="13">
        <v>118.256874</v>
      </c>
      <c r="AJ13" s="13">
        <v>120.961624</v>
      </c>
    </row>
    <row r="14" spans="1:36" s="9" customFormat="1" ht="15" customHeight="1">
      <c r="A14" s="12" t="s">
        <v>22</v>
      </c>
      <c r="B14" s="68"/>
      <c r="C14" s="13">
        <v>36.304217999999999</v>
      </c>
      <c r="D14" s="13">
        <v>36.839657000000003</v>
      </c>
      <c r="E14" s="13">
        <v>37.730251000000003</v>
      </c>
      <c r="F14" s="13">
        <v>39.683674000000003</v>
      </c>
      <c r="G14" s="13">
        <v>41.023955999999998</v>
      </c>
      <c r="H14" s="13">
        <v>42.006371000000001</v>
      </c>
      <c r="I14" s="13">
        <v>42.862800999999997</v>
      </c>
      <c r="J14" s="13">
        <v>43.639400000000002</v>
      </c>
      <c r="K14" s="13">
        <v>44.175002999999997</v>
      </c>
      <c r="L14" s="13">
        <v>44.640549</v>
      </c>
      <c r="M14" s="13">
        <v>44.842300000000002</v>
      </c>
      <c r="N14" s="13">
        <v>44.885216</v>
      </c>
      <c r="O14" s="13">
        <v>44.669285000000002</v>
      </c>
      <c r="P14" s="13">
        <v>44.355274000000001</v>
      </c>
      <c r="Q14" s="13">
        <v>44.308514000000002</v>
      </c>
      <c r="R14" s="13">
        <v>44.030665999999997</v>
      </c>
      <c r="S14" s="13">
        <v>43.890942000000003</v>
      </c>
      <c r="T14" s="13">
        <v>43.827396</v>
      </c>
      <c r="U14" s="13">
        <v>43.594588999999999</v>
      </c>
      <c r="V14" s="13">
        <v>43.583343999999997</v>
      </c>
      <c r="W14" s="13">
        <v>43.802363999999997</v>
      </c>
      <c r="X14" s="13">
        <v>43.878529</v>
      </c>
      <c r="Y14" s="13">
        <v>43.881065</v>
      </c>
      <c r="Z14" s="13">
        <v>44.107185000000001</v>
      </c>
      <c r="AA14" s="13">
        <v>44.414326000000003</v>
      </c>
      <c r="AB14" s="13">
        <v>44.660587</v>
      </c>
      <c r="AC14" s="13">
        <v>45.096755999999999</v>
      </c>
      <c r="AD14" s="13">
        <v>45.498924000000002</v>
      </c>
      <c r="AE14" s="13">
        <v>46.015205000000002</v>
      </c>
      <c r="AF14" s="13">
        <v>46.387211000000001</v>
      </c>
      <c r="AG14" s="13">
        <v>46.886147000000001</v>
      </c>
      <c r="AH14" s="13">
        <v>47.384524999999996</v>
      </c>
      <c r="AI14" s="13">
        <v>47.895496000000001</v>
      </c>
      <c r="AJ14" s="13">
        <v>48.464809000000002</v>
      </c>
    </row>
    <row r="15" spans="1:36" s="9" customFormat="1" ht="15" customHeight="1">
      <c r="A15" s="14" t="s">
        <v>1</v>
      </c>
      <c r="B15" s="89"/>
      <c r="C15" s="15">
        <v>374.87094100000002</v>
      </c>
      <c r="D15" s="15">
        <v>367.57217400000002</v>
      </c>
      <c r="E15" s="15">
        <v>362.73236100000003</v>
      </c>
      <c r="F15" s="15">
        <v>372.35546900000003</v>
      </c>
      <c r="G15" s="15">
        <v>378.54040500000002</v>
      </c>
      <c r="H15" s="15">
        <v>380.32659899999999</v>
      </c>
      <c r="I15" s="15">
        <v>381.288025</v>
      </c>
      <c r="J15" s="15">
        <v>381.33349600000003</v>
      </c>
      <c r="K15" s="15">
        <v>380.30169699999999</v>
      </c>
      <c r="L15" s="15">
        <v>378.17334</v>
      </c>
      <c r="M15" s="15">
        <v>375.07260100000002</v>
      </c>
      <c r="N15" s="15">
        <v>372.54821800000002</v>
      </c>
      <c r="O15" s="15">
        <v>368.26934799999998</v>
      </c>
      <c r="P15" s="15">
        <v>364.18151899999998</v>
      </c>
      <c r="Q15" s="15">
        <v>362.139343</v>
      </c>
      <c r="R15" s="15">
        <v>359.387451</v>
      </c>
      <c r="S15" s="15">
        <v>356.50915500000002</v>
      </c>
      <c r="T15" s="15">
        <v>355.62658699999997</v>
      </c>
      <c r="U15" s="15">
        <v>348.147064</v>
      </c>
      <c r="V15" s="15">
        <v>352.255066</v>
      </c>
      <c r="W15" s="15">
        <v>357.75543199999998</v>
      </c>
      <c r="X15" s="15">
        <v>362.13729899999998</v>
      </c>
      <c r="Y15" s="15">
        <v>364.69635</v>
      </c>
      <c r="Z15" s="15">
        <v>369.20636000000002</v>
      </c>
      <c r="AA15" s="15">
        <v>374.77725199999998</v>
      </c>
      <c r="AB15" s="15">
        <v>379.12857100000002</v>
      </c>
      <c r="AC15" s="15">
        <v>384.39447000000001</v>
      </c>
      <c r="AD15" s="15">
        <v>390.17486600000001</v>
      </c>
      <c r="AE15" s="15">
        <v>395.91442899999998</v>
      </c>
      <c r="AF15" s="15">
        <v>400.68170199999997</v>
      </c>
      <c r="AG15" s="15">
        <v>406.26763899999997</v>
      </c>
      <c r="AH15" s="15">
        <v>411.63974000000002</v>
      </c>
      <c r="AI15" s="15">
        <v>416.45858800000002</v>
      </c>
      <c r="AJ15" s="15">
        <v>422.44287100000003</v>
      </c>
    </row>
    <row r="16" spans="1:36" s="8" customFormat="1">
      <c r="A16" s="2" t="s">
        <v>83</v>
      </c>
      <c r="B16" s="2"/>
    </row>
    <row r="17" spans="1:37" s="76" customFormat="1" ht="15" customHeight="1">
      <c r="A17" s="73" t="s">
        <v>13</v>
      </c>
      <c r="B17" s="90"/>
      <c r="C17" s="74">
        <v>1.5529999999999999</v>
      </c>
      <c r="D17" s="74">
        <v>1.5529999999999999</v>
      </c>
      <c r="E17" s="74">
        <v>1.5529999999999999</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5"/>
    </row>
    <row r="18" spans="1:37" s="76" customFormat="1" ht="15" customHeight="1">
      <c r="A18" s="73" t="s">
        <v>12</v>
      </c>
      <c r="B18" s="90"/>
      <c r="C18" s="74">
        <v>2.2949999999999999</v>
      </c>
      <c r="D18" s="74">
        <v>2.2949999999999999</v>
      </c>
      <c r="E18" s="74">
        <v>2.2949999999999999</v>
      </c>
      <c r="F18" s="74">
        <v>0</v>
      </c>
      <c r="G18" s="74">
        <v>0</v>
      </c>
      <c r="H18" s="74">
        <v>0</v>
      </c>
      <c r="I18" s="74">
        <v>0</v>
      </c>
      <c r="J18" s="74">
        <v>0</v>
      </c>
      <c r="K18" s="74">
        <v>0</v>
      </c>
      <c r="L18" s="74">
        <v>0</v>
      </c>
      <c r="M18" s="74">
        <v>0</v>
      </c>
      <c r="N18" s="74">
        <v>0</v>
      </c>
      <c r="O18" s="74">
        <v>0</v>
      </c>
      <c r="P18" s="74">
        <v>0</v>
      </c>
      <c r="Q18" s="74">
        <v>0</v>
      </c>
      <c r="R18" s="74">
        <v>0</v>
      </c>
      <c r="S18" s="74">
        <v>0</v>
      </c>
      <c r="T18" s="74">
        <v>0</v>
      </c>
      <c r="U18" s="74">
        <v>0</v>
      </c>
      <c r="V18" s="74">
        <v>0</v>
      </c>
      <c r="W18" s="74">
        <v>0</v>
      </c>
      <c r="X18" s="74">
        <v>0</v>
      </c>
      <c r="Y18" s="74">
        <v>0</v>
      </c>
      <c r="Z18" s="74">
        <v>0</v>
      </c>
      <c r="AA18" s="74">
        <v>0</v>
      </c>
      <c r="AB18" s="74">
        <v>0</v>
      </c>
      <c r="AC18" s="74">
        <v>0</v>
      </c>
      <c r="AD18" s="74">
        <v>0</v>
      </c>
      <c r="AE18" s="74">
        <v>0</v>
      </c>
      <c r="AF18" s="74">
        <v>0</v>
      </c>
      <c r="AG18" s="74">
        <v>0</v>
      </c>
      <c r="AH18" s="74">
        <v>0</v>
      </c>
      <c r="AI18" s="74">
        <v>0</v>
      </c>
      <c r="AJ18" s="74">
        <v>0</v>
      </c>
      <c r="AK18" s="75"/>
    </row>
    <row r="19" spans="1:37" s="76" customFormat="1" ht="15" customHeight="1">
      <c r="A19" s="73" t="s">
        <v>14</v>
      </c>
      <c r="B19" s="90"/>
      <c r="C19" s="74">
        <v>9.6280000000000001</v>
      </c>
      <c r="D19" s="74">
        <v>9.6280000000000001</v>
      </c>
      <c r="E19" s="74">
        <v>9.6280000000000001</v>
      </c>
      <c r="F19" s="74">
        <v>0</v>
      </c>
      <c r="G19" s="74">
        <v>0</v>
      </c>
      <c r="H19" s="74">
        <v>0</v>
      </c>
      <c r="I19" s="74">
        <v>0</v>
      </c>
      <c r="J19" s="74">
        <v>0</v>
      </c>
      <c r="K19" s="74">
        <v>0</v>
      </c>
      <c r="L19" s="74">
        <v>0</v>
      </c>
      <c r="M19" s="74">
        <v>0</v>
      </c>
      <c r="N19" s="74">
        <v>0</v>
      </c>
      <c r="O19" s="74">
        <v>0</v>
      </c>
      <c r="P19" s="74">
        <v>0</v>
      </c>
      <c r="Q19" s="74">
        <v>0</v>
      </c>
      <c r="R19" s="74">
        <v>0</v>
      </c>
      <c r="S19" s="74">
        <v>0</v>
      </c>
      <c r="T19" s="74">
        <v>0</v>
      </c>
      <c r="U19" s="74">
        <v>0</v>
      </c>
      <c r="V19" s="74">
        <v>0</v>
      </c>
      <c r="W19" s="74">
        <v>0</v>
      </c>
      <c r="X19" s="74">
        <v>0</v>
      </c>
      <c r="Y19" s="74">
        <v>0</v>
      </c>
      <c r="Z19" s="74">
        <v>0</v>
      </c>
      <c r="AA19" s="74">
        <v>0</v>
      </c>
      <c r="AB19" s="74">
        <v>0</v>
      </c>
      <c r="AC19" s="74">
        <v>0</v>
      </c>
      <c r="AD19" s="74">
        <v>0</v>
      </c>
      <c r="AE19" s="74">
        <v>0</v>
      </c>
      <c r="AF19" s="74">
        <v>0</v>
      </c>
      <c r="AG19" s="74">
        <v>0</v>
      </c>
      <c r="AH19" s="74">
        <v>0</v>
      </c>
      <c r="AI19" s="74">
        <v>0</v>
      </c>
      <c r="AJ19" s="74">
        <v>0</v>
      </c>
      <c r="AK19" s="75"/>
    </row>
    <row r="20" spans="1:37" s="76" customFormat="1" ht="15" customHeight="1">
      <c r="A20" s="73" t="s">
        <v>15</v>
      </c>
      <c r="B20" s="90"/>
      <c r="C20" s="74">
        <v>527.828979</v>
      </c>
      <c r="D20" s="74">
        <v>527.828979</v>
      </c>
      <c r="E20" s="74">
        <v>527.828979</v>
      </c>
      <c r="F20" s="74">
        <v>381.09463499999998</v>
      </c>
      <c r="G20" s="74">
        <v>369.54522700000001</v>
      </c>
      <c r="H20" s="74">
        <v>357.17898600000001</v>
      </c>
      <c r="I20" s="74">
        <v>346.91030899999998</v>
      </c>
      <c r="J20" s="74">
        <v>333.87948599999999</v>
      </c>
      <c r="K20" s="74">
        <v>330.89709499999998</v>
      </c>
      <c r="L20" s="74">
        <v>321.93670700000001</v>
      </c>
      <c r="M20" s="74">
        <v>317.36334199999999</v>
      </c>
      <c r="N20" s="74">
        <v>320.72894300000002</v>
      </c>
      <c r="O20" s="74">
        <v>323.46853599999997</v>
      </c>
      <c r="P20" s="74">
        <v>322.56362899999999</v>
      </c>
      <c r="Q20" s="74">
        <v>335.11086999999998</v>
      </c>
      <c r="R20" s="74">
        <v>334.81295799999998</v>
      </c>
      <c r="S20" s="74">
        <v>338.01730300000003</v>
      </c>
      <c r="T20" s="74">
        <v>349.32910199999998</v>
      </c>
      <c r="U20" s="74">
        <v>351.129547</v>
      </c>
      <c r="V20" s="74">
        <v>357.54629499999999</v>
      </c>
      <c r="W20" s="74">
        <v>370.16168199999998</v>
      </c>
      <c r="X20" s="74">
        <v>372.70224000000002</v>
      </c>
      <c r="Y20" s="74">
        <v>376.39077800000001</v>
      </c>
      <c r="Z20" s="74">
        <v>381.97335800000002</v>
      </c>
      <c r="AA20" s="74">
        <v>384.73959400000001</v>
      </c>
      <c r="AB20" s="74">
        <v>389.76919600000002</v>
      </c>
      <c r="AC20" s="74">
        <v>395.469086</v>
      </c>
      <c r="AD20" s="74">
        <v>402.20483400000001</v>
      </c>
      <c r="AE20" s="74">
        <v>404.15927099999999</v>
      </c>
      <c r="AF20" s="74">
        <v>412.932953</v>
      </c>
      <c r="AG20" s="74">
        <v>418.10235599999999</v>
      </c>
      <c r="AH20" s="74">
        <v>420.51187099999999</v>
      </c>
      <c r="AI20" s="74">
        <v>419.92010499999998</v>
      </c>
      <c r="AJ20" s="74">
        <v>424.434326</v>
      </c>
      <c r="AK20" s="75"/>
    </row>
    <row r="21" spans="1:37" s="76" customFormat="1" ht="15" customHeight="1">
      <c r="A21" s="73" t="s">
        <v>23</v>
      </c>
      <c r="B21" s="90"/>
      <c r="C21" s="74">
        <v>1484.7150879999999</v>
      </c>
      <c r="D21" s="74">
        <v>1538.8170170000001</v>
      </c>
      <c r="E21" s="74">
        <v>1533</v>
      </c>
      <c r="F21" s="74">
        <v>1698.105591</v>
      </c>
      <c r="G21" s="74">
        <v>1650.0679929999999</v>
      </c>
      <c r="H21" s="74">
        <v>1595.97522</v>
      </c>
      <c r="I21" s="74">
        <v>1572.0251459999999</v>
      </c>
      <c r="J21" s="74">
        <v>1545.298828</v>
      </c>
      <c r="K21" s="74">
        <v>1534.666138</v>
      </c>
      <c r="L21" s="74">
        <v>1490.081177</v>
      </c>
      <c r="M21" s="74">
        <v>1477.2320560000001</v>
      </c>
      <c r="N21" s="74">
        <v>1498.8654790000001</v>
      </c>
      <c r="O21" s="74">
        <v>1467.3881839999999</v>
      </c>
      <c r="P21" s="74">
        <v>1476.9948730000001</v>
      </c>
      <c r="Q21" s="74">
        <v>1501.7739260000001</v>
      </c>
      <c r="R21" s="74">
        <v>1490.578125</v>
      </c>
      <c r="S21" s="74">
        <v>1468.7146</v>
      </c>
      <c r="T21" s="74">
        <v>1511.593018</v>
      </c>
      <c r="U21" s="74">
        <v>1503.7937010000001</v>
      </c>
      <c r="V21" s="74">
        <v>1475.2890620000001</v>
      </c>
      <c r="W21" s="74">
        <v>1543.9261469999999</v>
      </c>
      <c r="X21" s="74">
        <v>1540.496582</v>
      </c>
      <c r="Y21" s="74">
        <v>1537.2016599999999</v>
      </c>
      <c r="Z21" s="74">
        <v>1556.186768</v>
      </c>
      <c r="AA21" s="74">
        <v>1564.395264</v>
      </c>
      <c r="AB21" s="74">
        <v>1543.641846</v>
      </c>
      <c r="AC21" s="74">
        <v>1564.987427</v>
      </c>
      <c r="AD21" s="74">
        <v>1592.6865230000001</v>
      </c>
      <c r="AE21" s="74">
        <v>1614.6571039999999</v>
      </c>
      <c r="AF21" s="74">
        <v>1633.6633300000001</v>
      </c>
      <c r="AG21" s="74">
        <v>1642.69165</v>
      </c>
      <c r="AH21" s="74">
        <v>1647.2193600000001</v>
      </c>
      <c r="AI21" s="74">
        <v>1635.9807129999999</v>
      </c>
      <c r="AJ21" s="74">
        <v>1641.2717290000001</v>
      </c>
      <c r="AK21" s="75"/>
    </row>
    <row r="22" spans="1:37" s="76" customFormat="1" ht="15" customHeight="1">
      <c r="A22" s="73" t="s">
        <v>16</v>
      </c>
      <c r="B22" s="90"/>
      <c r="C22" s="74">
        <v>5.7610000000000001</v>
      </c>
      <c r="D22" s="74">
        <v>5.7610000000000001</v>
      </c>
      <c r="E22" s="74">
        <v>5.7610000000000001</v>
      </c>
      <c r="F22" s="74">
        <v>5.7403149999999998</v>
      </c>
      <c r="G22" s="74">
        <v>13.880179999999999</v>
      </c>
      <c r="H22" s="74">
        <v>20.10004</v>
      </c>
      <c r="I22" s="74">
        <v>26.580870000000001</v>
      </c>
      <c r="J22" s="74">
        <v>16.602115999999999</v>
      </c>
      <c r="K22" s="74">
        <v>1.1588000000000001</v>
      </c>
      <c r="L22" s="74">
        <v>17.524881000000001</v>
      </c>
      <c r="M22" s="74">
        <v>23.596509999999999</v>
      </c>
      <c r="N22" s="74">
        <v>27.685549000000002</v>
      </c>
      <c r="O22" s="74">
        <v>20.777595999999999</v>
      </c>
      <c r="P22" s="74">
        <v>15.487730000000001</v>
      </c>
      <c r="Q22" s="74">
        <v>0</v>
      </c>
      <c r="R22" s="74">
        <v>3.3459000000000003E-2</v>
      </c>
      <c r="S22" s="74">
        <v>0</v>
      </c>
      <c r="T22" s="74">
        <v>0</v>
      </c>
      <c r="U22" s="74">
        <v>0</v>
      </c>
      <c r="V22" s="74">
        <v>0</v>
      </c>
      <c r="W22" s="74">
        <v>0</v>
      </c>
      <c r="X22" s="74">
        <v>3.1949999999999999E-2</v>
      </c>
      <c r="Y22" s="74">
        <v>2.0237999999999999E-2</v>
      </c>
      <c r="Z22" s="74">
        <v>0</v>
      </c>
      <c r="AA22" s="74">
        <v>0</v>
      </c>
      <c r="AB22" s="74">
        <v>0</v>
      </c>
      <c r="AC22" s="74">
        <v>0</v>
      </c>
      <c r="AD22" s="74">
        <v>0</v>
      </c>
      <c r="AE22" s="74">
        <v>0</v>
      </c>
      <c r="AF22" s="74">
        <v>1.0768E-2</v>
      </c>
      <c r="AG22" s="74">
        <v>1.5454000000000001E-2</v>
      </c>
      <c r="AH22" s="74">
        <v>2.6991999999999999E-2</v>
      </c>
      <c r="AI22" s="74">
        <v>2.4375000000000001E-2</v>
      </c>
      <c r="AJ22" s="74">
        <v>2.0191000000000001E-2</v>
      </c>
      <c r="AK22" s="75"/>
    </row>
    <row r="23" spans="1:37" s="76" customFormat="1" ht="15" customHeight="1">
      <c r="A23" s="73" t="s">
        <v>81</v>
      </c>
      <c r="B23" s="90"/>
      <c r="C23" s="74">
        <v>2031.7810059999999</v>
      </c>
      <c r="D23" s="74">
        <v>2085.883057</v>
      </c>
      <c r="E23" s="74">
        <v>2080.0659179999998</v>
      </c>
      <c r="F23" s="74">
        <v>2084.9404300000001</v>
      </c>
      <c r="G23" s="74">
        <v>2033.493408</v>
      </c>
      <c r="H23" s="74">
        <v>1973.2542719999999</v>
      </c>
      <c r="I23" s="74">
        <v>1945.5162350000001</v>
      </c>
      <c r="J23" s="74">
        <v>1895.780518</v>
      </c>
      <c r="K23" s="74">
        <v>1866.7220460000001</v>
      </c>
      <c r="L23" s="74">
        <v>1829.542725</v>
      </c>
      <c r="M23" s="74">
        <v>1818.1920170000001</v>
      </c>
      <c r="N23" s="74">
        <v>1847.280029</v>
      </c>
      <c r="O23" s="74">
        <v>1811.6342770000001</v>
      </c>
      <c r="P23" s="74">
        <v>1815.046143</v>
      </c>
      <c r="Q23" s="74">
        <v>1836.8847659999999</v>
      </c>
      <c r="R23" s="74">
        <v>1825.424561</v>
      </c>
      <c r="S23" s="74">
        <v>1806.7319339999999</v>
      </c>
      <c r="T23" s="74">
        <v>1860.9221190000001</v>
      </c>
      <c r="U23" s="74">
        <v>1854.9232179999999</v>
      </c>
      <c r="V23" s="74">
        <v>1832.835327</v>
      </c>
      <c r="W23" s="74">
        <v>1914.0878909999999</v>
      </c>
      <c r="X23" s="74">
        <v>1913.2308350000001</v>
      </c>
      <c r="Y23" s="74">
        <v>1913.6126710000001</v>
      </c>
      <c r="Z23" s="74">
        <v>1938.1601559999999</v>
      </c>
      <c r="AA23" s="74">
        <v>1949.134888</v>
      </c>
      <c r="AB23" s="74">
        <v>1933.4110109999999</v>
      </c>
      <c r="AC23" s="74">
        <v>1960.456543</v>
      </c>
      <c r="AD23" s="74">
        <v>1994.891357</v>
      </c>
      <c r="AE23" s="74">
        <v>2018.8164059999999</v>
      </c>
      <c r="AF23" s="74">
        <v>2046.6070560000001</v>
      </c>
      <c r="AG23" s="74">
        <v>2060.8093260000001</v>
      </c>
      <c r="AH23" s="74">
        <v>2067.7583009999998</v>
      </c>
      <c r="AI23" s="74">
        <v>2055.9252929999998</v>
      </c>
      <c r="AJ23" s="74">
        <v>2065.726318</v>
      </c>
      <c r="AK23" s="75"/>
    </row>
    <row r="24" spans="1:37" s="76" customFormat="1" ht="15" customHeight="1">
      <c r="A24" s="73" t="s">
        <v>17</v>
      </c>
      <c r="B24" s="90"/>
      <c r="C24" s="74">
        <v>1477.841064</v>
      </c>
      <c r="D24" s="74">
        <v>1458.953857</v>
      </c>
      <c r="E24" s="74">
        <v>1443.5708010000001</v>
      </c>
      <c r="F24" s="74">
        <v>1503.6347659999999</v>
      </c>
      <c r="G24" s="74">
        <v>1494.849365</v>
      </c>
      <c r="H24" s="74">
        <v>1507.3222659999999</v>
      </c>
      <c r="I24" s="74">
        <v>1516.399414</v>
      </c>
      <c r="J24" s="74">
        <v>1501.2585449999999</v>
      </c>
      <c r="K24" s="74">
        <v>1490.4748540000001</v>
      </c>
      <c r="L24" s="74">
        <v>1497.544678</v>
      </c>
      <c r="M24" s="74">
        <v>1427.8542480000001</v>
      </c>
      <c r="N24" s="74">
        <v>1453.719482</v>
      </c>
      <c r="O24" s="74">
        <v>1403.5823969999999</v>
      </c>
      <c r="P24" s="74">
        <v>1411.8294679999999</v>
      </c>
      <c r="Q24" s="74">
        <v>1393.601318</v>
      </c>
      <c r="R24" s="74">
        <v>1387.4726559999999</v>
      </c>
      <c r="S24" s="74">
        <v>1376.3201899999999</v>
      </c>
      <c r="T24" s="74">
        <v>1393.6176760000001</v>
      </c>
      <c r="U24" s="74">
        <v>1409.8443600000001</v>
      </c>
      <c r="V24" s="74">
        <v>1413.5104980000001</v>
      </c>
      <c r="W24" s="74">
        <v>1415.6099850000001</v>
      </c>
      <c r="X24" s="74">
        <v>1432.585327</v>
      </c>
      <c r="Y24" s="74">
        <v>1431.0893550000001</v>
      </c>
      <c r="Z24" s="74">
        <v>1444.054077</v>
      </c>
      <c r="AA24" s="74">
        <v>1452.4626459999999</v>
      </c>
      <c r="AB24" s="74">
        <v>1436.8176269999999</v>
      </c>
      <c r="AC24" s="74">
        <v>1464.9995120000001</v>
      </c>
      <c r="AD24" s="74">
        <v>1457.420044</v>
      </c>
      <c r="AE24" s="74">
        <v>1525.833862</v>
      </c>
      <c r="AF24" s="74">
        <v>1499.611328</v>
      </c>
      <c r="AG24" s="74">
        <v>1507.556274</v>
      </c>
      <c r="AH24" s="74">
        <v>1514.6473390000001</v>
      </c>
      <c r="AI24" s="74">
        <v>1540.548828</v>
      </c>
      <c r="AJ24" s="74">
        <v>1541.2818600000001</v>
      </c>
      <c r="AK24" s="75"/>
    </row>
    <row r="25" spans="1:37" s="76" customFormat="1" ht="15" customHeight="1">
      <c r="A25" s="73" t="s">
        <v>24</v>
      </c>
      <c r="B25" s="90"/>
      <c r="C25" s="74">
        <v>1286.2730710000001</v>
      </c>
      <c r="D25" s="74">
        <v>1121.4530030000001</v>
      </c>
      <c r="E25" s="74">
        <v>1111.1560059999999</v>
      </c>
      <c r="F25" s="74">
        <v>1224.316284</v>
      </c>
      <c r="G25" s="74">
        <v>1216.0892329999999</v>
      </c>
      <c r="H25" s="74">
        <v>1238.864014</v>
      </c>
      <c r="I25" s="74">
        <v>1242.8732910000001</v>
      </c>
      <c r="J25" s="74">
        <v>1239.8220209999999</v>
      </c>
      <c r="K25" s="74">
        <v>1238.5980219999999</v>
      </c>
      <c r="L25" s="74">
        <v>1240.612061</v>
      </c>
      <c r="M25" s="74">
        <v>1205.877686</v>
      </c>
      <c r="N25" s="74">
        <v>1207.2138669999999</v>
      </c>
      <c r="O25" s="74">
        <v>1188.897217</v>
      </c>
      <c r="P25" s="74">
        <v>1192.074341</v>
      </c>
      <c r="Q25" s="74">
        <v>1178.767456</v>
      </c>
      <c r="R25" s="74">
        <v>1175.8544919999999</v>
      </c>
      <c r="S25" s="74">
        <v>1175.8035890000001</v>
      </c>
      <c r="T25" s="74">
        <v>1167.43335</v>
      </c>
      <c r="U25" s="74">
        <v>1181.132202</v>
      </c>
      <c r="V25" s="74">
        <v>1195.2983400000001</v>
      </c>
      <c r="W25" s="74">
        <v>1172.8358149999999</v>
      </c>
      <c r="X25" s="74">
        <v>1183.794922</v>
      </c>
      <c r="Y25" s="74">
        <v>1179.272095</v>
      </c>
      <c r="Z25" s="74">
        <v>1185.630371</v>
      </c>
      <c r="AA25" s="74">
        <v>1188.4338379999999</v>
      </c>
      <c r="AB25" s="74">
        <v>1191.472534</v>
      </c>
      <c r="AC25" s="74">
        <v>1200.4077150000001</v>
      </c>
      <c r="AD25" s="74">
        <v>1189.474121</v>
      </c>
      <c r="AE25" s="74">
        <v>1229.6499020000001</v>
      </c>
      <c r="AF25" s="74">
        <v>1208.8408199999999</v>
      </c>
      <c r="AG25" s="74">
        <v>1211.969971</v>
      </c>
      <c r="AH25" s="74">
        <v>1215.7791749999999</v>
      </c>
      <c r="AI25" s="74">
        <v>1230.760986</v>
      </c>
      <c r="AJ25" s="74">
        <v>1229.905518</v>
      </c>
      <c r="AK25" s="75"/>
    </row>
    <row r="26" spans="1:37" s="76" customFormat="1" ht="15" customHeight="1">
      <c r="A26" s="73" t="s">
        <v>25</v>
      </c>
      <c r="B26" s="90"/>
      <c r="C26" s="74">
        <v>191.567993</v>
      </c>
      <c r="D26" s="74">
        <v>337.50082400000002</v>
      </c>
      <c r="E26" s="74">
        <v>332.41473400000001</v>
      </c>
      <c r="F26" s="74">
        <v>279.318512</v>
      </c>
      <c r="G26" s="74">
        <v>278.76010100000002</v>
      </c>
      <c r="H26" s="74">
        <v>268.45822099999998</v>
      </c>
      <c r="I26" s="74">
        <v>273.52615400000002</v>
      </c>
      <c r="J26" s="74">
        <v>261.43658399999998</v>
      </c>
      <c r="K26" s="74">
        <v>251.876846</v>
      </c>
      <c r="L26" s="74">
        <v>256.93261699999999</v>
      </c>
      <c r="M26" s="74">
        <v>221.976562</v>
      </c>
      <c r="N26" s="74">
        <v>246.50563</v>
      </c>
      <c r="O26" s="74">
        <v>214.68524199999999</v>
      </c>
      <c r="P26" s="74">
        <v>219.755157</v>
      </c>
      <c r="Q26" s="74">
        <v>214.83386200000001</v>
      </c>
      <c r="R26" s="74">
        <v>211.61821</v>
      </c>
      <c r="S26" s="74">
        <v>200.51664700000001</v>
      </c>
      <c r="T26" s="74">
        <v>226.18428</v>
      </c>
      <c r="U26" s="74">
        <v>228.71212800000001</v>
      </c>
      <c r="V26" s="74">
        <v>218.21220400000001</v>
      </c>
      <c r="W26" s="74">
        <v>242.77420000000001</v>
      </c>
      <c r="X26" s="74">
        <v>248.79037500000001</v>
      </c>
      <c r="Y26" s="74">
        <v>251.817215</v>
      </c>
      <c r="Z26" s="74">
        <v>258.42364500000002</v>
      </c>
      <c r="AA26" s="74">
        <v>264.028839</v>
      </c>
      <c r="AB26" s="74">
        <v>245.34513899999999</v>
      </c>
      <c r="AC26" s="74">
        <v>264.59179699999999</v>
      </c>
      <c r="AD26" s="74">
        <v>267.94592299999999</v>
      </c>
      <c r="AE26" s="74">
        <v>296.18396000000001</v>
      </c>
      <c r="AF26" s="74">
        <v>290.77047700000003</v>
      </c>
      <c r="AG26" s="74">
        <v>295.58630399999998</v>
      </c>
      <c r="AH26" s="74">
        <v>298.86816399999998</v>
      </c>
      <c r="AI26" s="74">
        <v>309.78784200000001</v>
      </c>
      <c r="AJ26" s="74">
        <v>311.37631199999998</v>
      </c>
      <c r="AK26" s="75"/>
    </row>
    <row r="27" spans="1:37" s="76" customFormat="1" ht="15" customHeight="1">
      <c r="A27" s="73" t="s">
        <v>26</v>
      </c>
      <c r="B27" s="90"/>
      <c r="C27" s="74">
        <v>0</v>
      </c>
      <c r="D27" s="74">
        <v>0</v>
      </c>
      <c r="E27" s="74">
        <v>0</v>
      </c>
      <c r="F27" s="74">
        <v>0</v>
      </c>
      <c r="G27" s="74">
        <v>0</v>
      </c>
      <c r="H27" s="74">
        <v>0</v>
      </c>
      <c r="I27" s="74">
        <v>0</v>
      </c>
      <c r="J27" s="74">
        <v>0</v>
      </c>
      <c r="K27" s="74">
        <v>0</v>
      </c>
      <c r="L27" s="74">
        <v>0</v>
      </c>
      <c r="M27" s="74">
        <v>0</v>
      </c>
      <c r="N27" s="74">
        <v>0</v>
      </c>
      <c r="O27" s="74">
        <v>0</v>
      </c>
      <c r="P27" s="74">
        <v>0</v>
      </c>
      <c r="Q27" s="74">
        <v>0</v>
      </c>
      <c r="R27" s="74">
        <v>0</v>
      </c>
      <c r="S27" s="74">
        <v>0</v>
      </c>
      <c r="T27" s="74">
        <v>0</v>
      </c>
      <c r="U27" s="74">
        <v>0</v>
      </c>
      <c r="V27" s="74">
        <v>0</v>
      </c>
      <c r="W27" s="74">
        <v>0</v>
      </c>
      <c r="X27" s="74">
        <v>0</v>
      </c>
      <c r="Y27" s="74">
        <v>0</v>
      </c>
      <c r="Z27" s="74">
        <v>0</v>
      </c>
      <c r="AA27" s="74">
        <v>0</v>
      </c>
      <c r="AB27" s="74">
        <v>0</v>
      </c>
      <c r="AC27" s="74">
        <v>0</v>
      </c>
      <c r="AD27" s="74">
        <v>0</v>
      </c>
      <c r="AE27" s="74">
        <v>0</v>
      </c>
      <c r="AF27" s="74">
        <v>0</v>
      </c>
      <c r="AG27" s="74">
        <v>0</v>
      </c>
      <c r="AH27" s="74">
        <v>0</v>
      </c>
      <c r="AI27" s="74">
        <v>0</v>
      </c>
      <c r="AJ27" s="74">
        <v>0</v>
      </c>
      <c r="AK27" s="75"/>
    </row>
    <row r="28" spans="1:37" s="76" customFormat="1" ht="15" customHeight="1">
      <c r="A28" s="73" t="s">
        <v>27</v>
      </c>
      <c r="B28" s="90"/>
      <c r="C28" s="74">
        <v>24</v>
      </c>
      <c r="D28" s="74">
        <v>24</v>
      </c>
      <c r="E28" s="74">
        <v>24</v>
      </c>
      <c r="F28" s="74">
        <v>30.971101999999998</v>
      </c>
      <c r="G28" s="74">
        <v>30.971101999999998</v>
      </c>
      <c r="H28" s="74">
        <v>30.971101999999998</v>
      </c>
      <c r="I28" s="74">
        <v>30.971101999999998</v>
      </c>
      <c r="J28" s="74">
        <v>30.971101999999998</v>
      </c>
      <c r="K28" s="74">
        <v>30.971101999999998</v>
      </c>
      <c r="L28" s="74">
        <v>30.971101999999998</v>
      </c>
      <c r="M28" s="74">
        <v>30.971101999999998</v>
      </c>
      <c r="N28" s="74">
        <v>30.971101999999998</v>
      </c>
      <c r="O28" s="74">
        <v>30.971101999999998</v>
      </c>
      <c r="P28" s="74">
        <v>30.971101999999998</v>
      </c>
      <c r="Q28" s="74">
        <v>30.971101999999998</v>
      </c>
      <c r="R28" s="74">
        <v>30.971101999999998</v>
      </c>
      <c r="S28" s="74">
        <v>30.971101999999998</v>
      </c>
      <c r="T28" s="74">
        <v>30.971101999999998</v>
      </c>
      <c r="U28" s="74">
        <v>30.971101999999998</v>
      </c>
      <c r="V28" s="74">
        <v>30.971101999999998</v>
      </c>
      <c r="W28" s="74">
        <v>30.971101999999998</v>
      </c>
      <c r="X28" s="74">
        <v>30.971101999999998</v>
      </c>
      <c r="Y28" s="74">
        <v>30.971101999999998</v>
      </c>
      <c r="Z28" s="74">
        <v>30.971101999999998</v>
      </c>
      <c r="AA28" s="74">
        <v>30.971101999999998</v>
      </c>
      <c r="AB28" s="74">
        <v>30.971101999999998</v>
      </c>
      <c r="AC28" s="74">
        <v>30.971101999999998</v>
      </c>
      <c r="AD28" s="74">
        <v>30.971101999999998</v>
      </c>
      <c r="AE28" s="74">
        <v>30.971101999999998</v>
      </c>
      <c r="AF28" s="74">
        <v>30.971101999999998</v>
      </c>
      <c r="AG28" s="74">
        <v>30.971101999999998</v>
      </c>
      <c r="AH28" s="74">
        <v>30.971101999999998</v>
      </c>
      <c r="AI28" s="74">
        <v>30.971101999999998</v>
      </c>
      <c r="AJ28" s="74">
        <v>30.971101999999998</v>
      </c>
      <c r="AK28" s="75"/>
    </row>
    <row r="29" spans="1:37" s="76" customFormat="1" ht="15" customHeight="1">
      <c r="A29" s="73" t="s">
        <v>117</v>
      </c>
      <c r="B29" s="90"/>
      <c r="C29" s="74">
        <v>783.99597200000005</v>
      </c>
      <c r="D29" s="74">
        <v>782.41796899999997</v>
      </c>
      <c r="E29" s="74">
        <v>802.76788299999998</v>
      </c>
      <c r="F29" s="74">
        <v>837.63122599999997</v>
      </c>
      <c r="G29" s="74">
        <v>838.94726600000001</v>
      </c>
      <c r="H29" s="74">
        <v>840.18133499999999</v>
      </c>
      <c r="I29" s="74">
        <v>841.316956</v>
      </c>
      <c r="J29" s="74">
        <v>844.53350799999998</v>
      </c>
      <c r="K29" s="74">
        <v>845.60510299999999</v>
      </c>
      <c r="L29" s="74">
        <v>845.90173300000004</v>
      </c>
      <c r="M29" s="74">
        <v>846.117615</v>
      </c>
      <c r="N29" s="74">
        <v>851.53051800000003</v>
      </c>
      <c r="O29" s="74">
        <v>852.830872</v>
      </c>
      <c r="P29" s="74">
        <v>855.32501200000002</v>
      </c>
      <c r="Q29" s="74">
        <v>846.38635299999999</v>
      </c>
      <c r="R29" s="74">
        <v>847.30737299999998</v>
      </c>
      <c r="S29" s="74">
        <v>848.44592299999999</v>
      </c>
      <c r="T29" s="74">
        <v>848.72808799999996</v>
      </c>
      <c r="U29" s="74">
        <v>848.77362100000005</v>
      </c>
      <c r="V29" s="74">
        <v>848.77972399999999</v>
      </c>
      <c r="W29" s="74">
        <v>848.77179000000001</v>
      </c>
      <c r="X29" s="74">
        <v>848.74652100000003</v>
      </c>
      <c r="Y29" s="74">
        <v>848.72582999999997</v>
      </c>
      <c r="Z29" s="74">
        <v>848.69793700000002</v>
      </c>
      <c r="AA29" s="74">
        <v>848.70318599999996</v>
      </c>
      <c r="AB29" s="74">
        <v>844.51190199999996</v>
      </c>
      <c r="AC29" s="74">
        <v>840.10711700000002</v>
      </c>
      <c r="AD29" s="74">
        <v>838.93585199999995</v>
      </c>
      <c r="AE29" s="74">
        <v>837.24615500000004</v>
      </c>
      <c r="AF29" s="74">
        <v>837.23962400000005</v>
      </c>
      <c r="AG29" s="74">
        <v>837.22717299999999</v>
      </c>
      <c r="AH29" s="74">
        <v>837.21575900000005</v>
      </c>
      <c r="AI29" s="74">
        <v>837.20562700000005</v>
      </c>
      <c r="AJ29" s="74">
        <v>837.19421399999999</v>
      </c>
      <c r="AK29" s="75"/>
    </row>
    <row r="30" spans="1:37" s="76" customFormat="1" ht="15" customHeight="1">
      <c r="A30" s="73" t="s">
        <v>22</v>
      </c>
      <c r="B30" s="90"/>
      <c r="C30" s="74">
        <v>202.70098899999999</v>
      </c>
      <c r="D30" s="74">
        <v>202.70098899999999</v>
      </c>
      <c r="E30" s="74">
        <v>202.70098899999999</v>
      </c>
      <c r="F30" s="74">
        <v>208.61547899999999</v>
      </c>
      <c r="G30" s="74">
        <v>204.761292</v>
      </c>
      <c r="H30" s="74">
        <v>201.33343500000001</v>
      </c>
      <c r="I30" s="74">
        <v>197.59556599999999</v>
      </c>
      <c r="J30" s="74">
        <v>192.152771</v>
      </c>
      <c r="K30" s="74">
        <v>188.99897799999999</v>
      </c>
      <c r="L30" s="74">
        <v>183.82186899999999</v>
      </c>
      <c r="M30" s="74">
        <v>179.40068099999999</v>
      </c>
      <c r="N30" s="74">
        <v>181.03556800000001</v>
      </c>
      <c r="O30" s="74">
        <v>177.91980000000001</v>
      </c>
      <c r="P30" s="74">
        <v>178.38232400000001</v>
      </c>
      <c r="Q30" s="74">
        <v>180.61944600000001</v>
      </c>
      <c r="R30" s="74">
        <v>179.868179</v>
      </c>
      <c r="S30" s="74">
        <v>178.195099</v>
      </c>
      <c r="T30" s="74">
        <v>182.56556699999999</v>
      </c>
      <c r="U30" s="74">
        <v>182.07647700000001</v>
      </c>
      <c r="V30" s="74">
        <v>181.93002300000001</v>
      </c>
      <c r="W30" s="74">
        <v>185.526352</v>
      </c>
      <c r="X30" s="74">
        <v>186.070999</v>
      </c>
      <c r="Y30" s="74">
        <v>185.614532</v>
      </c>
      <c r="Z30" s="74">
        <v>188.38061500000001</v>
      </c>
      <c r="AA30" s="74">
        <v>189.07450900000001</v>
      </c>
      <c r="AB30" s="74">
        <v>189.08633399999999</v>
      </c>
      <c r="AC30" s="74">
        <v>191.91108700000001</v>
      </c>
      <c r="AD30" s="74">
        <v>194.19776899999999</v>
      </c>
      <c r="AE30" s="74">
        <v>197.605118</v>
      </c>
      <c r="AF30" s="74">
        <v>199.14454699999999</v>
      </c>
      <c r="AG30" s="74">
        <v>200.590317</v>
      </c>
      <c r="AH30" s="74">
        <v>201.08874499999999</v>
      </c>
      <c r="AI30" s="74">
        <v>201.22792100000001</v>
      </c>
      <c r="AJ30" s="74">
        <v>201.59368900000001</v>
      </c>
      <c r="AK30" s="75"/>
    </row>
    <row r="31" spans="1:37" s="76" customFormat="1" ht="15" customHeight="1">
      <c r="A31" s="77" t="s">
        <v>1</v>
      </c>
      <c r="B31" s="91"/>
      <c r="C31" s="78">
        <v>4520.3188479999999</v>
      </c>
      <c r="D31" s="78">
        <v>4553.9560549999997</v>
      </c>
      <c r="E31" s="78">
        <v>4553.1054690000001</v>
      </c>
      <c r="F31" s="78">
        <v>4665.7929690000001</v>
      </c>
      <c r="G31" s="78">
        <v>4603.0224609999996</v>
      </c>
      <c r="H31" s="78">
        <v>4553.0625</v>
      </c>
      <c r="I31" s="78">
        <v>4531.7993159999996</v>
      </c>
      <c r="J31" s="78">
        <v>4464.6967770000001</v>
      </c>
      <c r="K31" s="78">
        <v>4422.7719729999999</v>
      </c>
      <c r="L31" s="78">
        <v>4387.7822269999997</v>
      </c>
      <c r="M31" s="78">
        <v>4302.5356449999999</v>
      </c>
      <c r="N31" s="78">
        <v>4364.5371089999999</v>
      </c>
      <c r="O31" s="78">
        <v>4276.9389650000003</v>
      </c>
      <c r="P31" s="78">
        <v>4291.5541990000002</v>
      </c>
      <c r="Q31" s="78">
        <v>4288.4628910000001</v>
      </c>
      <c r="R31" s="78">
        <v>4271.0439450000003</v>
      </c>
      <c r="S31" s="78">
        <v>4240.6645509999998</v>
      </c>
      <c r="T31" s="78">
        <v>4316.8046880000002</v>
      </c>
      <c r="U31" s="78">
        <v>4326.5888670000004</v>
      </c>
      <c r="V31" s="78">
        <v>4308.0263670000004</v>
      </c>
      <c r="W31" s="78">
        <v>4394.9672849999997</v>
      </c>
      <c r="X31" s="78">
        <v>4411.6049800000001</v>
      </c>
      <c r="Y31" s="78">
        <v>4410.013672</v>
      </c>
      <c r="Z31" s="78">
        <v>4450.2641599999997</v>
      </c>
      <c r="AA31" s="78">
        <v>4470.3466799999997</v>
      </c>
      <c r="AB31" s="78">
        <v>4434.7978519999997</v>
      </c>
      <c r="AC31" s="78">
        <v>4488.4453119999998</v>
      </c>
      <c r="AD31" s="78">
        <v>4516.4165039999998</v>
      </c>
      <c r="AE31" s="78">
        <v>4610.4731449999999</v>
      </c>
      <c r="AF31" s="78">
        <v>4613.5737300000001</v>
      </c>
      <c r="AG31" s="78">
        <v>4637.154297</v>
      </c>
      <c r="AH31" s="78">
        <v>4651.6816410000001</v>
      </c>
      <c r="AI31" s="78">
        <v>4665.8789059999999</v>
      </c>
      <c r="AJ31" s="78">
        <v>4676.767578</v>
      </c>
      <c r="AK31" s="79"/>
    </row>
    <row r="32" spans="1:37" s="8" customFormat="1">
      <c r="A32" s="4" t="s">
        <v>84</v>
      </c>
      <c r="B32" s="4"/>
    </row>
    <row r="33" spans="1:36" s="9" customFormat="1" ht="15" customHeight="1">
      <c r="A33" s="12" t="s">
        <v>12</v>
      </c>
      <c r="B33" s="68" t="str">
        <f>About!C93</f>
        <v>Petroleum Diesel</v>
      </c>
      <c r="C33" s="13">
        <v>2.6533850000000001</v>
      </c>
      <c r="D33" s="13">
        <v>2.610474</v>
      </c>
      <c r="E33" s="13">
        <v>2.6091099999999998</v>
      </c>
      <c r="F33" s="13">
        <v>2.653025</v>
      </c>
      <c r="G33" s="13">
        <v>2.6448800000000001</v>
      </c>
      <c r="H33" s="13">
        <v>2.6423369999999999</v>
      </c>
      <c r="I33" s="13">
        <v>2.6458140000000001</v>
      </c>
      <c r="J33" s="13">
        <v>2.637006</v>
      </c>
      <c r="K33" s="13">
        <v>2.583453</v>
      </c>
      <c r="L33" s="13">
        <v>2.5469300000000001</v>
      </c>
      <c r="M33" s="13">
        <v>2.4654820000000002</v>
      </c>
      <c r="N33" s="13">
        <v>2.412642</v>
      </c>
      <c r="O33" s="13">
        <v>2.3498709999999998</v>
      </c>
      <c r="P33" s="13">
        <v>2.31419</v>
      </c>
      <c r="Q33" s="13">
        <v>2.2814950000000001</v>
      </c>
      <c r="R33" s="13">
        <v>2.2549090000000001</v>
      </c>
      <c r="S33" s="13">
        <v>2.22818</v>
      </c>
      <c r="T33" s="13">
        <v>2.2048920000000001</v>
      </c>
      <c r="U33" s="13">
        <v>2.1731790000000002</v>
      </c>
      <c r="V33" s="13">
        <v>2.1356350000000002</v>
      </c>
      <c r="W33" s="13">
        <v>2.121359</v>
      </c>
      <c r="X33" s="13">
        <v>2.0913970000000002</v>
      </c>
      <c r="Y33" s="13">
        <v>2.0624180000000001</v>
      </c>
      <c r="Z33" s="13">
        <v>2.0306030000000002</v>
      </c>
      <c r="AA33" s="13">
        <v>2.0011199999999998</v>
      </c>
      <c r="AB33" s="13">
        <v>1.9632050000000001</v>
      </c>
      <c r="AC33" s="13">
        <v>1.9323060000000001</v>
      </c>
      <c r="AD33" s="13">
        <v>1.9016679999999999</v>
      </c>
      <c r="AE33" s="13">
        <v>1.8704639999999999</v>
      </c>
      <c r="AF33" s="13">
        <v>1.841164</v>
      </c>
      <c r="AG33" s="13">
        <v>1.815059</v>
      </c>
      <c r="AH33" s="13">
        <v>1.7795179999999999</v>
      </c>
      <c r="AI33" s="13">
        <v>1.7569969999999999</v>
      </c>
      <c r="AJ33" s="13">
        <v>1.7359169999999999</v>
      </c>
    </row>
    <row r="34" spans="1:36" s="9" customFormat="1" ht="15" customHeight="1">
      <c r="A34" s="12" t="s">
        <v>13</v>
      </c>
      <c r="B34" s="68" t="str">
        <f>About!C94</f>
        <v>Heavy or Residual Oil</v>
      </c>
      <c r="C34" s="13">
        <v>2.8290449999999998</v>
      </c>
      <c r="D34" s="13">
        <v>2.6892559999999999</v>
      </c>
      <c r="E34" s="13">
        <v>2.5098029999999998</v>
      </c>
      <c r="F34" s="13">
        <v>2.5086849999999998</v>
      </c>
      <c r="G34" s="13">
        <v>2.4965700000000002</v>
      </c>
      <c r="H34" s="13">
        <v>2.5109140000000001</v>
      </c>
      <c r="I34" s="13">
        <v>2.5476930000000002</v>
      </c>
      <c r="J34" s="13">
        <v>2.5789149999999998</v>
      </c>
      <c r="K34" s="13">
        <v>2.6139739999999998</v>
      </c>
      <c r="L34" s="13">
        <v>2.630776</v>
      </c>
      <c r="M34" s="13">
        <v>2.6183529999999999</v>
      </c>
      <c r="N34" s="13">
        <v>2.6327340000000001</v>
      </c>
      <c r="O34" s="13">
        <v>2.6327129999999999</v>
      </c>
      <c r="P34" s="13">
        <v>2.6212719999999998</v>
      </c>
      <c r="Q34" s="13">
        <v>2.6265320000000001</v>
      </c>
      <c r="R34" s="13">
        <v>2.650115</v>
      </c>
      <c r="S34" s="13">
        <v>2.6750210000000001</v>
      </c>
      <c r="T34" s="13">
        <v>2.6991610000000001</v>
      </c>
      <c r="U34" s="13">
        <v>2.7190159999999999</v>
      </c>
      <c r="V34" s="13">
        <v>2.7378490000000002</v>
      </c>
      <c r="W34" s="13">
        <v>2.7676530000000001</v>
      </c>
      <c r="X34" s="13">
        <v>2.7816230000000002</v>
      </c>
      <c r="Y34" s="13">
        <v>2.7903820000000001</v>
      </c>
      <c r="Z34" s="13">
        <v>2.785237</v>
      </c>
      <c r="AA34" s="13">
        <v>2.7771840000000001</v>
      </c>
      <c r="AB34" s="13">
        <v>2.7677939999999999</v>
      </c>
      <c r="AC34" s="13">
        <v>2.7659060000000002</v>
      </c>
      <c r="AD34" s="13">
        <v>2.7550270000000001</v>
      </c>
      <c r="AE34" s="13">
        <v>2.7581329999999999</v>
      </c>
      <c r="AF34" s="13">
        <v>2.7467619999999999</v>
      </c>
      <c r="AG34" s="13">
        <v>2.7459600000000002</v>
      </c>
      <c r="AH34" s="13">
        <v>2.74166</v>
      </c>
      <c r="AI34" s="13">
        <v>2.7417050000000001</v>
      </c>
      <c r="AJ34" s="13">
        <v>2.73597</v>
      </c>
    </row>
    <row r="35" spans="1:36" s="9" customFormat="1" ht="15" customHeight="1">
      <c r="A35" s="12" t="s">
        <v>80</v>
      </c>
      <c r="B35" s="68" t="str">
        <f>About!C90</f>
        <v>LPG/propane/butane</v>
      </c>
      <c r="C35" s="13">
        <v>0.33254899999999998</v>
      </c>
      <c r="D35" s="13">
        <v>0.40198299999999998</v>
      </c>
      <c r="E35" s="13">
        <v>0.33807999999999999</v>
      </c>
      <c r="F35" s="13">
        <v>0.14582400000000001</v>
      </c>
      <c r="G35" s="13">
        <v>0.14093700000000001</v>
      </c>
      <c r="H35" s="13">
        <v>0.13539000000000001</v>
      </c>
      <c r="I35" s="13">
        <v>0.13201199999999999</v>
      </c>
      <c r="J35" s="13">
        <v>0.128888</v>
      </c>
      <c r="K35" s="13">
        <v>0.12610099999999999</v>
      </c>
      <c r="L35" s="13">
        <v>0.124225</v>
      </c>
      <c r="M35" s="13">
        <v>0.121563</v>
      </c>
      <c r="N35" s="13">
        <v>0.119242</v>
      </c>
      <c r="O35" s="13">
        <v>0.117538</v>
      </c>
      <c r="P35" s="13">
        <v>0.116271</v>
      </c>
      <c r="Q35" s="13">
        <v>0.11522</v>
      </c>
      <c r="R35" s="13">
        <v>0.114228</v>
      </c>
      <c r="S35" s="13">
        <v>0.11315</v>
      </c>
      <c r="T35" s="13">
        <v>0.111844</v>
      </c>
      <c r="U35" s="13">
        <v>0.110556</v>
      </c>
      <c r="V35" s="13">
        <v>0.109197</v>
      </c>
      <c r="W35" s="13">
        <v>0.108198</v>
      </c>
      <c r="X35" s="13">
        <v>0.107086</v>
      </c>
      <c r="Y35" s="13">
        <v>0.105932</v>
      </c>
      <c r="Z35" s="13">
        <v>0.104613</v>
      </c>
      <c r="AA35" s="13">
        <v>0.10328</v>
      </c>
      <c r="AB35" s="13">
        <v>0.10167900000000001</v>
      </c>
      <c r="AC35" s="13">
        <v>0.100068</v>
      </c>
      <c r="AD35" s="13">
        <v>9.8283999999999996E-2</v>
      </c>
      <c r="AE35" s="13">
        <v>9.6869999999999998E-2</v>
      </c>
      <c r="AF35" s="13">
        <v>9.5295000000000005E-2</v>
      </c>
      <c r="AG35" s="13">
        <v>9.3864000000000003E-2</v>
      </c>
      <c r="AH35" s="13">
        <v>9.2286999999999994E-2</v>
      </c>
      <c r="AI35" s="13">
        <v>9.1269000000000003E-2</v>
      </c>
      <c r="AJ35" s="13">
        <v>9.0466000000000005E-2</v>
      </c>
    </row>
    <row r="36" spans="1:36" s="9" customFormat="1" ht="15" customHeight="1">
      <c r="A36" s="12" t="s">
        <v>16</v>
      </c>
      <c r="B36" s="68" t="str">
        <f>About!C98</f>
        <v>Heavy or Residual Oil</v>
      </c>
      <c r="C36" s="13">
        <v>21.582668000000002</v>
      </c>
      <c r="D36" s="13">
        <v>26.105328</v>
      </c>
      <c r="E36" s="13">
        <v>23.224308000000001</v>
      </c>
      <c r="F36" s="13">
        <v>22.096319000000001</v>
      </c>
      <c r="G36" s="13">
        <v>20.957932</v>
      </c>
      <c r="H36" s="13">
        <v>20.619382999999999</v>
      </c>
      <c r="I36" s="13">
        <v>20.453693000000001</v>
      </c>
      <c r="J36" s="13">
        <v>20.24999</v>
      </c>
      <c r="K36" s="13">
        <v>20.079262</v>
      </c>
      <c r="L36" s="13">
        <v>20.011301</v>
      </c>
      <c r="M36" s="13">
        <v>19.715553</v>
      </c>
      <c r="N36" s="13">
        <v>19.637753</v>
      </c>
      <c r="O36" s="13">
        <v>19.448378000000002</v>
      </c>
      <c r="P36" s="13">
        <v>19.400824</v>
      </c>
      <c r="Q36" s="13">
        <v>19.479030999999999</v>
      </c>
      <c r="R36" s="13">
        <v>19.688568</v>
      </c>
      <c r="S36" s="13">
        <v>19.916004000000001</v>
      </c>
      <c r="T36" s="13">
        <v>20.133376999999999</v>
      </c>
      <c r="U36" s="13">
        <v>20.317017</v>
      </c>
      <c r="V36" s="13">
        <v>20.493241999999999</v>
      </c>
      <c r="W36" s="13">
        <v>20.758821000000001</v>
      </c>
      <c r="X36" s="13">
        <v>20.910741999999999</v>
      </c>
      <c r="Y36" s="13">
        <v>21.020426</v>
      </c>
      <c r="Z36" s="13">
        <v>21.020980999999999</v>
      </c>
      <c r="AA36" s="13">
        <v>20.998139999999999</v>
      </c>
      <c r="AB36" s="13">
        <v>20.967237000000001</v>
      </c>
      <c r="AC36" s="13">
        <v>20.993082000000001</v>
      </c>
      <c r="AD36" s="13">
        <v>20.950932999999999</v>
      </c>
      <c r="AE36" s="13">
        <v>21.016569</v>
      </c>
      <c r="AF36" s="13">
        <v>20.968136000000001</v>
      </c>
      <c r="AG36" s="13">
        <v>21.000978</v>
      </c>
      <c r="AH36" s="13">
        <v>21.007781999999999</v>
      </c>
      <c r="AI36" s="13">
        <v>21.048528999999998</v>
      </c>
      <c r="AJ36" s="13">
        <v>21.043268000000001</v>
      </c>
    </row>
    <row r="37" spans="1:36" s="9" customFormat="1" ht="15" customHeight="1">
      <c r="A37" s="12" t="s">
        <v>81</v>
      </c>
      <c r="B37" s="68"/>
      <c r="C37" s="13">
        <v>27.397648</v>
      </c>
      <c r="D37" s="13">
        <v>31.807039</v>
      </c>
      <c r="E37" s="13">
        <v>28.681298999999999</v>
      </c>
      <c r="F37" s="13">
        <v>27.403853999999999</v>
      </c>
      <c r="G37" s="13">
        <v>26.240317999999998</v>
      </c>
      <c r="H37" s="13">
        <v>25.908026</v>
      </c>
      <c r="I37" s="13">
        <v>25.779211</v>
      </c>
      <c r="J37" s="13">
        <v>25.594798999999998</v>
      </c>
      <c r="K37" s="13">
        <v>25.40279</v>
      </c>
      <c r="L37" s="13">
        <v>25.313230999999998</v>
      </c>
      <c r="M37" s="13">
        <v>24.920952</v>
      </c>
      <c r="N37" s="13">
        <v>24.80237</v>
      </c>
      <c r="O37" s="13">
        <v>24.548500000000001</v>
      </c>
      <c r="P37" s="13">
        <v>24.452555</v>
      </c>
      <c r="Q37" s="13">
        <v>24.502279000000001</v>
      </c>
      <c r="R37" s="13">
        <v>24.707820999999999</v>
      </c>
      <c r="S37" s="13">
        <v>24.932354</v>
      </c>
      <c r="T37" s="13">
        <v>25.149274999999999</v>
      </c>
      <c r="U37" s="13">
        <v>25.319766999999999</v>
      </c>
      <c r="V37" s="13">
        <v>25.475923999999999</v>
      </c>
      <c r="W37" s="13">
        <v>25.756032999999999</v>
      </c>
      <c r="X37" s="13">
        <v>25.890847999999998</v>
      </c>
      <c r="Y37" s="13">
        <v>25.979158000000002</v>
      </c>
      <c r="Z37" s="13">
        <v>25.941433</v>
      </c>
      <c r="AA37" s="13">
        <v>25.879725000000001</v>
      </c>
      <c r="AB37" s="13">
        <v>25.799914999999999</v>
      </c>
      <c r="AC37" s="13">
        <v>25.791360999999998</v>
      </c>
      <c r="AD37" s="13">
        <v>25.705912000000001</v>
      </c>
      <c r="AE37" s="13">
        <v>25.742037</v>
      </c>
      <c r="AF37" s="13">
        <v>25.651356</v>
      </c>
      <c r="AG37" s="13">
        <v>25.655861000000002</v>
      </c>
      <c r="AH37" s="13">
        <v>25.621248000000001</v>
      </c>
      <c r="AI37" s="13">
        <v>25.638497999999998</v>
      </c>
      <c r="AJ37" s="13">
        <v>25.605620999999999</v>
      </c>
    </row>
    <row r="38" spans="1:36" s="9" customFormat="1" ht="15" customHeight="1">
      <c r="A38" s="12" t="s">
        <v>17</v>
      </c>
      <c r="B38" s="68"/>
      <c r="C38" s="13">
        <v>402.02453600000001</v>
      </c>
      <c r="D38" s="13">
        <v>426.780823</v>
      </c>
      <c r="E38" s="13">
        <v>423.84863300000001</v>
      </c>
      <c r="F38" s="13">
        <v>425.21887199999998</v>
      </c>
      <c r="G38" s="13">
        <v>419.35272200000003</v>
      </c>
      <c r="H38" s="13">
        <v>426.41372699999999</v>
      </c>
      <c r="I38" s="13">
        <v>433.24328600000001</v>
      </c>
      <c r="J38" s="13">
        <v>437.01904300000001</v>
      </c>
      <c r="K38" s="13">
        <v>441.45654300000001</v>
      </c>
      <c r="L38" s="13">
        <v>446.11416600000001</v>
      </c>
      <c r="M38" s="13">
        <v>445.93582199999997</v>
      </c>
      <c r="N38" s="13">
        <v>450.343658</v>
      </c>
      <c r="O38" s="13">
        <v>452.88439899999997</v>
      </c>
      <c r="P38" s="13">
        <v>456.30728099999999</v>
      </c>
      <c r="Q38" s="13">
        <v>450.26855499999999</v>
      </c>
      <c r="R38" s="13">
        <v>438.10247800000002</v>
      </c>
      <c r="S38" s="13">
        <v>422.171875</v>
      </c>
      <c r="T38" s="13">
        <v>409.21460000000002</v>
      </c>
      <c r="U38" s="13">
        <v>402.04669200000001</v>
      </c>
      <c r="V38" s="13">
        <v>399.88253800000001</v>
      </c>
      <c r="W38" s="13">
        <v>401.74383499999999</v>
      </c>
      <c r="X38" s="13">
        <v>403.66424599999999</v>
      </c>
      <c r="Y38" s="13">
        <v>405.56381199999998</v>
      </c>
      <c r="Z38" s="13">
        <v>406.33621199999999</v>
      </c>
      <c r="AA38" s="13">
        <v>406.80432100000002</v>
      </c>
      <c r="AB38" s="13">
        <v>407.20660400000003</v>
      </c>
      <c r="AC38" s="13">
        <v>408.670929</v>
      </c>
      <c r="AD38" s="13">
        <v>408.85235599999999</v>
      </c>
      <c r="AE38" s="13">
        <v>410.53042599999998</v>
      </c>
      <c r="AF38" s="13">
        <v>410.66149899999999</v>
      </c>
      <c r="AG38" s="13">
        <v>410.87762500000002</v>
      </c>
      <c r="AH38" s="13">
        <v>409.61926299999999</v>
      </c>
      <c r="AI38" s="13">
        <v>407.372253</v>
      </c>
      <c r="AJ38" s="13">
        <v>403.30136099999999</v>
      </c>
    </row>
    <row r="39" spans="1:36" s="9" customFormat="1" ht="15" customHeight="1">
      <c r="A39" s="12" t="s">
        <v>19</v>
      </c>
      <c r="B39" s="68"/>
      <c r="C39" s="13">
        <v>495.52185100000003</v>
      </c>
      <c r="D39" s="13">
        <v>540.47119099999998</v>
      </c>
      <c r="E39" s="13">
        <v>569.85900900000001</v>
      </c>
      <c r="F39" s="13">
        <v>520.14410399999997</v>
      </c>
      <c r="G39" s="13">
        <v>488.568939</v>
      </c>
      <c r="H39" s="13">
        <v>483.69116200000002</v>
      </c>
      <c r="I39" s="13">
        <v>470.57714800000002</v>
      </c>
      <c r="J39" s="13">
        <v>470.71163899999999</v>
      </c>
      <c r="K39" s="13">
        <v>472.25436400000001</v>
      </c>
      <c r="L39" s="13">
        <v>473.703125</v>
      </c>
      <c r="M39" s="13">
        <v>472.021973</v>
      </c>
      <c r="N39" s="13">
        <v>474.587219</v>
      </c>
      <c r="O39" s="13">
        <v>473.379547</v>
      </c>
      <c r="P39" s="13">
        <v>476.39691199999999</v>
      </c>
      <c r="Q39" s="13">
        <v>478.95199600000001</v>
      </c>
      <c r="R39" s="13">
        <v>480.95929000000001</v>
      </c>
      <c r="S39" s="13">
        <v>483.50765999999999</v>
      </c>
      <c r="T39" s="13">
        <v>486.87539700000002</v>
      </c>
      <c r="U39" s="13">
        <v>487.81692500000003</v>
      </c>
      <c r="V39" s="13">
        <v>488.55419899999998</v>
      </c>
      <c r="W39" s="13">
        <v>492.58813500000002</v>
      </c>
      <c r="X39" s="13">
        <v>493.68356299999999</v>
      </c>
      <c r="Y39" s="13">
        <v>492.48727400000001</v>
      </c>
      <c r="Z39" s="13">
        <v>489.01364100000001</v>
      </c>
      <c r="AA39" s="13">
        <v>487.86322000000001</v>
      </c>
      <c r="AB39" s="13">
        <v>484.14608800000002</v>
      </c>
      <c r="AC39" s="13">
        <v>481.93725599999999</v>
      </c>
      <c r="AD39" s="13">
        <v>478.79937699999999</v>
      </c>
      <c r="AE39" s="13">
        <v>478.555969</v>
      </c>
      <c r="AF39" s="13">
        <v>474.72534200000001</v>
      </c>
      <c r="AG39" s="13">
        <v>473.29119900000001</v>
      </c>
      <c r="AH39" s="13">
        <v>470.645081</v>
      </c>
      <c r="AI39" s="13">
        <v>468.59680200000003</v>
      </c>
      <c r="AJ39" s="13">
        <v>465.86563100000001</v>
      </c>
    </row>
    <row r="40" spans="1:36" s="9" customFormat="1" ht="15" customHeight="1">
      <c r="A40" s="12" t="s">
        <v>29</v>
      </c>
      <c r="B40" s="68"/>
      <c r="C40" s="13">
        <v>-28.499995999999999</v>
      </c>
      <c r="D40" s="13">
        <v>-13.899998</v>
      </c>
      <c r="E40" s="13">
        <v>-15.9</v>
      </c>
      <c r="F40" s="13">
        <v>-15.306457</v>
      </c>
      <c r="G40" s="13">
        <v>-15.716326</v>
      </c>
      <c r="H40" s="13">
        <v>-22.255413000000001</v>
      </c>
      <c r="I40" s="13">
        <v>-18.211872</v>
      </c>
      <c r="J40" s="13">
        <v>-18.239585999999999</v>
      </c>
      <c r="K40" s="13">
        <v>-16.720427999999998</v>
      </c>
      <c r="L40" s="13">
        <v>-15.814276</v>
      </c>
      <c r="M40" s="13">
        <v>-15.040997000000001</v>
      </c>
      <c r="N40" s="13">
        <v>-14.105052000000001</v>
      </c>
      <c r="O40" s="13">
        <v>-13.514708000000001</v>
      </c>
      <c r="P40" s="13">
        <v>-12.976782999999999</v>
      </c>
      <c r="Q40" s="13">
        <v>-12.450875</v>
      </c>
      <c r="R40" s="13">
        <v>-12.078194</v>
      </c>
      <c r="S40" s="13">
        <v>-11.685358000000001</v>
      </c>
      <c r="T40" s="13">
        <v>-11.315229</v>
      </c>
      <c r="U40" s="13">
        <v>-11.125152</v>
      </c>
      <c r="V40" s="13">
        <v>-10.952779</v>
      </c>
      <c r="W40" s="13">
        <v>-10.715007999999999</v>
      </c>
      <c r="X40" s="13">
        <v>-10.522318</v>
      </c>
      <c r="Y40" s="13">
        <v>-10.350868</v>
      </c>
      <c r="Z40" s="13">
        <v>-10.295553</v>
      </c>
      <c r="AA40" s="13">
        <v>-10.215157</v>
      </c>
      <c r="AB40" s="13">
        <v>-10.177678</v>
      </c>
      <c r="AC40" s="13">
        <v>-10.082893</v>
      </c>
      <c r="AD40" s="13">
        <v>-10.065305</v>
      </c>
      <c r="AE40" s="13">
        <v>-9.9291210000000003</v>
      </c>
      <c r="AF40" s="13">
        <v>-9.9308619999999994</v>
      </c>
      <c r="AG40" s="13">
        <v>-9.830095</v>
      </c>
      <c r="AH40" s="13">
        <v>-9.8104099999999992</v>
      </c>
      <c r="AI40" s="13">
        <v>-9.7517399999999999</v>
      </c>
      <c r="AJ40" s="13">
        <v>-9.7438549999999999</v>
      </c>
    </row>
    <row r="41" spans="1:36" s="9" customFormat="1" ht="15" customHeight="1">
      <c r="A41" s="12" t="s">
        <v>18</v>
      </c>
      <c r="B41" s="68"/>
      <c r="C41" s="13">
        <v>97.063796999999994</v>
      </c>
      <c r="D41" s="13">
        <v>93.0672</v>
      </c>
      <c r="E41" s="13">
        <v>91.388251999999994</v>
      </c>
      <c r="F41" s="13">
        <v>88.012694999999994</v>
      </c>
      <c r="G41" s="13">
        <v>85.937408000000005</v>
      </c>
      <c r="H41" s="13">
        <v>87.760315000000006</v>
      </c>
      <c r="I41" s="13">
        <v>87.481505999999996</v>
      </c>
      <c r="J41" s="13">
        <v>87.421020999999996</v>
      </c>
      <c r="K41" s="13">
        <v>87.927963000000005</v>
      </c>
      <c r="L41" s="13">
        <v>87.353638000000004</v>
      </c>
      <c r="M41" s="13">
        <v>86.147278</v>
      </c>
      <c r="N41" s="13">
        <v>85.769690999999995</v>
      </c>
      <c r="O41" s="13">
        <v>84.967819000000006</v>
      </c>
      <c r="P41" s="13">
        <v>83.905060000000006</v>
      </c>
      <c r="Q41" s="13">
        <v>83.081917000000004</v>
      </c>
      <c r="R41" s="13">
        <v>82.180588</v>
      </c>
      <c r="S41" s="13">
        <v>81.521973000000003</v>
      </c>
      <c r="T41" s="13">
        <v>80.830994000000004</v>
      </c>
      <c r="U41" s="13">
        <v>79.832213999999993</v>
      </c>
      <c r="V41" s="13">
        <v>78.627044999999995</v>
      </c>
      <c r="W41" s="13">
        <v>77.900954999999996</v>
      </c>
      <c r="X41" s="13">
        <v>76.652794</v>
      </c>
      <c r="Y41" s="13">
        <v>75.109650000000002</v>
      </c>
      <c r="Z41" s="13">
        <v>73.216369999999998</v>
      </c>
      <c r="AA41" s="13">
        <v>71.567245</v>
      </c>
      <c r="AB41" s="13">
        <v>69.573868000000004</v>
      </c>
      <c r="AC41" s="13">
        <v>67.788452000000007</v>
      </c>
      <c r="AD41" s="13">
        <v>65.851737999999997</v>
      </c>
      <c r="AE41" s="13">
        <v>64.318161000000003</v>
      </c>
      <c r="AF41" s="13">
        <v>62.404998999999997</v>
      </c>
      <c r="AG41" s="13">
        <v>60.858016999999997</v>
      </c>
      <c r="AH41" s="13">
        <v>59.164467000000002</v>
      </c>
      <c r="AI41" s="13">
        <v>57.609119</v>
      </c>
      <c r="AJ41" s="13">
        <v>56.007613999999997</v>
      </c>
    </row>
    <row r="42" spans="1:36" s="9" customFormat="1" ht="15" customHeight="1">
      <c r="A42" s="12" t="s">
        <v>20</v>
      </c>
      <c r="B42" s="209"/>
      <c r="C42" s="13">
        <v>564.08563200000003</v>
      </c>
      <c r="D42" s="13">
        <v>619.63836700000002</v>
      </c>
      <c r="E42" s="13">
        <v>645.34722899999997</v>
      </c>
      <c r="F42" s="13">
        <v>592.85034199999996</v>
      </c>
      <c r="G42" s="13">
        <v>558.79003899999998</v>
      </c>
      <c r="H42" s="13">
        <v>549.19604500000003</v>
      </c>
      <c r="I42" s="13">
        <v>539.84680200000003</v>
      </c>
      <c r="J42" s="13">
        <v>539.89306599999998</v>
      </c>
      <c r="K42" s="13">
        <v>543.46191399999998</v>
      </c>
      <c r="L42" s="13">
        <v>545.24249299999997</v>
      </c>
      <c r="M42" s="13">
        <v>543.12829599999998</v>
      </c>
      <c r="N42" s="13">
        <v>546.251892</v>
      </c>
      <c r="O42" s="13">
        <v>544.83264199999996</v>
      </c>
      <c r="P42" s="13">
        <v>547.32519500000001</v>
      </c>
      <c r="Q42" s="13">
        <v>549.58306900000002</v>
      </c>
      <c r="R42" s="13">
        <v>551.06170699999996</v>
      </c>
      <c r="S42" s="13">
        <v>553.34423800000002</v>
      </c>
      <c r="T42" s="13">
        <v>556.39117399999998</v>
      </c>
      <c r="U42" s="13">
        <v>556.52398700000003</v>
      </c>
      <c r="V42" s="13">
        <v>556.22845500000005</v>
      </c>
      <c r="W42" s="13">
        <v>559.77410899999995</v>
      </c>
      <c r="X42" s="13">
        <v>559.81402600000001</v>
      </c>
      <c r="Y42" s="13">
        <v>557.24609399999997</v>
      </c>
      <c r="Z42" s="13">
        <v>551.93444799999997</v>
      </c>
      <c r="AA42" s="13">
        <v>549.21533199999999</v>
      </c>
      <c r="AB42" s="13">
        <v>543.54229699999996</v>
      </c>
      <c r="AC42" s="13">
        <v>539.64282200000002</v>
      </c>
      <c r="AD42" s="13">
        <v>534.58581500000003</v>
      </c>
      <c r="AE42" s="13">
        <v>532.94500700000003</v>
      </c>
      <c r="AF42" s="13">
        <v>527.19946300000004</v>
      </c>
      <c r="AG42" s="13">
        <v>524.31909199999996</v>
      </c>
      <c r="AH42" s="13">
        <v>519.999146</v>
      </c>
      <c r="AI42" s="13">
        <v>516.45416299999999</v>
      </c>
      <c r="AJ42" s="13">
        <v>512.12939500000005</v>
      </c>
    </row>
    <row r="43" spans="1:36" s="9" customFormat="1" ht="15" customHeight="1">
      <c r="A43" s="12" t="s">
        <v>21</v>
      </c>
      <c r="B43" s="68"/>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0</v>
      </c>
      <c r="AB43" s="13">
        <v>0</v>
      </c>
      <c r="AC43" s="13">
        <v>0</v>
      </c>
      <c r="AD43" s="13">
        <v>0</v>
      </c>
      <c r="AE43" s="13">
        <v>0</v>
      </c>
      <c r="AF43" s="13">
        <v>0</v>
      </c>
      <c r="AG43" s="13">
        <v>0</v>
      </c>
      <c r="AH43" s="13">
        <v>0</v>
      </c>
      <c r="AI43" s="13">
        <v>0</v>
      </c>
      <c r="AJ43" s="13">
        <v>0</v>
      </c>
    </row>
    <row r="44" spans="1:36" s="9" customFormat="1" ht="15" customHeight="1">
      <c r="A44" s="12" t="s">
        <v>22</v>
      </c>
      <c r="B44" s="68"/>
      <c r="C44" s="13">
        <v>204.66700700000001</v>
      </c>
      <c r="D44" s="13">
        <v>212.93121300000001</v>
      </c>
      <c r="E44" s="13">
        <v>210.07704200000001</v>
      </c>
      <c r="F44" s="13">
        <v>210.68746899999999</v>
      </c>
      <c r="G44" s="13">
        <v>208.760605</v>
      </c>
      <c r="H44" s="13">
        <v>212.422684</v>
      </c>
      <c r="I44" s="13">
        <v>215.763184</v>
      </c>
      <c r="J44" s="13">
        <v>218.73614499999999</v>
      </c>
      <c r="K44" s="13">
        <v>221.697205</v>
      </c>
      <c r="L44" s="13">
        <v>224.004593</v>
      </c>
      <c r="M44" s="13">
        <v>223.91958600000001</v>
      </c>
      <c r="N44" s="13">
        <v>225.889816</v>
      </c>
      <c r="O44" s="13">
        <v>226.837997</v>
      </c>
      <c r="P44" s="13">
        <v>227.353928</v>
      </c>
      <c r="Q44" s="13">
        <v>228.361435</v>
      </c>
      <c r="R44" s="13">
        <v>229.52487199999999</v>
      </c>
      <c r="S44" s="13">
        <v>230.61575300000001</v>
      </c>
      <c r="T44" s="13">
        <v>231.86943099999999</v>
      </c>
      <c r="U44" s="13">
        <v>232.85067699999999</v>
      </c>
      <c r="V44" s="13">
        <v>233.75715600000001</v>
      </c>
      <c r="W44" s="13">
        <v>235.382599</v>
      </c>
      <c r="X44" s="13">
        <v>236.06390400000001</v>
      </c>
      <c r="Y44" s="13">
        <v>236.247086</v>
      </c>
      <c r="Z44" s="13">
        <v>235.58978300000001</v>
      </c>
      <c r="AA44" s="13">
        <v>234.67681899999999</v>
      </c>
      <c r="AB44" s="13">
        <v>233.654709</v>
      </c>
      <c r="AC44" s="13">
        <v>233.125046</v>
      </c>
      <c r="AD44" s="13">
        <v>231.97869900000001</v>
      </c>
      <c r="AE44" s="13">
        <v>231.70005800000001</v>
      </c>
      <c r="AF44" s="13">
        <v>230.50187700000001</v>
      </c>
      <c r="AG44" s="13">
        <v>229.86090100000001</v>
      </c>
      <c r="AH44" s="13">
        <v>228.84429900000001</v>
      </c>
      <c r="AI44" s="13">
        <v>227.97718800000001</v>
      </c>
      <c r="AJ44" s="13">
        <v>226.712189</v>
      </c>
    </row>
    <row r="45" spans="1:36" s="9" customFormat="1" ht="15" customHeight="1">
      <c r="A45" s="14" t="s">
        <v>1</v>
      </c>
      <c r="B45" s="89"/>
      <c r="C45" s="15">
        <v>1198.1748050000001</v>
      </c>
      <c r="D45" s="15">
        <v>1291.157471</v>
      </c>
      <c r="E45" s="15">
        <v>1307.9542240000001</v>
      </c>
      <c r="F45" s="15">
        <v>1256.1606449999999</v>
      </c>
      <c r="G45" s="15">
        <v>1213.143677</v>
      </c>
      <c r="H45" s="15">
        <v>1213.9404300000001</v>
      </c>
      <c r="I45" s="15">
        <v>1214.6324460000001</v>
      </c>
      <c r="J45" s="15">
        <v>1221.2430420000001</v>
      </c>
      <c r="K45" s="15">
        <v>1232.018433</v>
      </c>
      <c r="L45" s="15">
        <v>1240.674438</v>
      </c>
      <c r="M45" s="15">
        <v>1237.904663</v>
      </c>
      <c r="N45" s="15">
        <v>1247.28772</v>
      </c>
      <c r="O45" s="15">
        <v>1249.1035159999999</v>
      </c>
      <c r="P45" s="15">
        <v>1255.4389650000001</v>
      </c>
      <c r="Q45" s="15">
        <v>1252.715332</v>
      </c>
      <c r="R45" s="15">
        <v>1243.396851</v>
      </c>
      <c r="S45" s="15">
        <v>1231.0642089999999</v>
      </c>
      <c r="T45" s="15">
        <v>1222.6245120000001</v>
      </c>
      <c r="U45" s="15">
        <v>1216.7410890000001</v>
      </c>
      <c r="V45" s="15">
        <v>1215.3439940000001</v>
      </c>
      <c r="W45" s="15">
        <v>1222.656616</v>
      </c>
      <c r="X45" s="15">
        <v>1225.4329829999999</v>
      </c>
      <c r="Y45" s="15">
        <v>1225.0361330000001</v>
      </c>
      <c r="Z45" s="15">
        <v>1219.80188</v>
      </c>
      <c r="AA45" s="15">
        <v>1216.576172</v>
      </c>
      <c r="AB45" s="15">
        <v>1210.2036129999999</v>
      </c>
      <c r="AC45" s="15">
        <v>1207.230225</v>
      </c>
      <c r="AD45" s="15">
        <v>1201.122803</v>
      </c>
      <c r="AE45" s="15">
        <v>1200.9174800000001</v>
      </c>
      <c r="AF45" s="15">
        <v>1194.0141599999999</v>
      </c>
      <c r="AG45" s="15">
        <v>1190.713501</v>
      </c>
      <c r="AH45" s="15">
        <v>1184.0839840000001</v>
      </c>
      <c r="AI45" s="15">
        <v>1177.442139</v>
      </c>
      <c r="AJ45" s="15">
        <v>1167.7485349999999</v>
      </c>
    </row>
    <row r="46" spans="1:36" s="8" customFormat="1">
      <c r="A46" s="4" t="s">
        <v>85</v>
      </c>
      <c r="B46" s="4"/>
    </row>
    <row r="47" spans="1:36" s="26" customFormat="1">
      <c r="A47" s="25" t="s">
        <v>119</v>
      </c>
      <c r="B47" s="25"/>
    </row>
    <row r="48" spans="1:36" s="9" customFormat="1" ht="15" customHeight="1">
      <c r="A48" s="12" t="s">
        <v>30</v>
      </c>
      <c r="B48" s="68" t="str">
        <f>About!C94</f>
        <v>Heavy or Residual Oil</v>
      </c>
      <c r="C48" s="13">
        <v>2.635589</v>
      </c>
      <c r="D48" s="13">
        <v>1.9977309999999999</v>
      </c>
      <c r="E48" s="13">
        <v>2.2632029999999999</v>
      </c>
      <c r="F48" s="13">
        <v>2.1193610000000001</v>
      </c>
      <c r="G48" s="13">
        <v>2.003241</v>
      </c>
      <c r="H48" s="13">
        <v>1.8978489999999999</v>
      </c>
      <c r="I48" s="13">
        <v>1.798049</v>
      </c>
      <c r="J48" s="13">
        <v>1.711508</v>
      </c>
      <c r="K48" s="13">
        <v>1.8030900000000001</v>
      </c>
      <c r="L48" s="13">
        <v>1.790932</v>
      </c>
      <c r="M48" s="13">
        <v>1.765401</v>
      </c>
      <c r="N48" s="13">
        <v>1.7881020000000001</v>
      </c>
      <c r="O48" s="13">
        <v>1.767868</v>
      </c>
      <c r="P48" s="13">
        <v>1.7622770000000001</v>
      </c>
      <c r="Q48" s="13">
        <v>1.738184</v>
      </c>
      <c r="R48" s="13">
        <v>1.7588429999999999</v>
      </c>
      <c r="S48" s="13">
        <v>1.7658430000000001</v>
      </c>
      <c r="T48" s="13">
        <v>1.7449330000000001</v>
      </c>
      <c r="U48" s="13">
        <v>1.736132</v>
      </c>
      <c r="V48" s="13">
        <v>1.7309099999999999</v>
      </c>
      <c r="W48" s="13">
        <v>1.7204710000000001</v>
      </c>
      <c r="X48" s="13">
        <v>1.7149650000000001</v>
      </c>
      <c r="Y48" s="13">
        <v>1.6978949999999999</v>
      </c>
      <c r="Z48" s="13">
        <v>1.6891890000000001</v>
      </c>
      <c r="AA48" s="13">
        <v>1.6678120000000001</v>
      </c>
      <c r="AB48" s="13">
        <v>1.6506689999999999</v>
      </c>
      <c r="AC48" s="13">
        <v>1.64459</v>
      </c>
      <c r="AD48" s="13">
        <v>1.655937</v>
      </c>
      <c r="AE48" s="13">
        <v>1.655767</v>
      </c>
      <c r="AF48" s="13">
        <v>1.658949</v>
      </c>
      <c r="AG48" s="13">
        <v>1.664099</v>
      </c>
      <c r="AH48" s="13">
        <v>1.691459</v>
      </c>
      <c r="AI48" s="13">
        <v>1.7051719999999999</v>
      </c>
      <c r="AJ48" s="13">
        <v>1.723298</v>
      </c>
    </row>
    <row r="49" spans="1:37" s="9" customFormat="1" ht="15" customHeight="1">
      <c r="A49" s="12" t="s">
        <v>31</v>
      </c>
      <c r="B49" s="68" t="str">
        <f>About!C93</f>
        <v>Petroleum Diesel</v>
      </c>
      <c r="C49" s="13">
        <v>43.181739999999998</v>
      </c>
      <c r="D49" s="13">
        <v>45.245972000000002</v>
      </c>
      <c r="E49" s="13">
        <v>49.772689999999997</v>
      </c>
      <c r="F49" s="13">
        <v>50.325068999999999</v>
      </c>
      <c r="G49" s="13">
        <v>52.480483999999997</v>
      </c>
      <c r="H49" s="13">
        <v>54.631247999999999</v>
      </c>
      <c r="I49" s="13">
        <v>55.892882999999998</v>
      </c>
      <c r="J49" s="13">
        <v>57.659846999999999</v>
      </c>
      <c r="K49" s="13">
        <v>59.206524000000002</v>
      </c>
      <c r="L49" s="13">
        <v>60.365814</v>
      </c>
      <c r="M49" s="13">
        <v>62.404274000000001</v>
      </c>
      <c r="N49" s="13">
        <v>63.900379000000001</v>
      </c>
      <c r="O49" s="13">
        <v>65.855507000000003</v>
      </c>
      <c r="P49" s="13">
        <v>66.916092000000006</v>
      </c>
      <c r="Q49" s="13">
        <v>68.418448999999995</v>
      </c>
      <c r="R49" s="13">
        <v>70.226912999999996</v>
      </c>
      <c r="S49" s="13">
        <v>71.974945000000005</v>
      </c>
      <c r="T49" s="13">
        <v>72.876587000000001</v>
      </c>
      <c r="U49" s="13">
        <v>74.686615000000003</v>
      </c>
      <c r="V49" s="13">
        <v>77.012352000000007</v>
      </c>
      <c r="W49" s="13">
        <v>78.196297000000001</v>
      </c>
      <c r="X49" s="13">
        <v>80.897216999999998</v>
      </c>
      <c r="Y49" s="13">
        <v>83.069000000000003</v>
      </c>
      <c r="Z49" s="13">
        <v>85.072845000000001</v>
      </c>
      <c r="AA49" s="13">
        <v>87.620148</v>
      </c>
      <c r="AB49" s="13">
        <v>90.441779999999994</v>
      </c>
      <c r="AC49" s="13">
        <v>91.922759999999997</v>
      </c>
      <c r="AD49" s="13">
        <v>94.446205000000006</v>
      </c>
      <c r="AE49" s="13">
        <v>96.599632</v>
      </c>
      <c r="AF49" s="13">
        <v>99.133521999999999</v>
      </c>
      <c r="AG49" s="13">
        <v>101.717522</v>
      </c>
      <c r="AH49" s="13">
        <v>105.205315</v>
      </c>
      <c r="AI49" s="13">
        <v>107.27510100000001</v>
      </c>
      <c r="AJ49" s="13">
        <v>110.05159</v>
      </c>
    </row>
    <row r="50" spans="1:37" s="9" customFormat="1" ht="15" customHeight="1">
      <c r="A50" s="12" t="s">
        <v>86</v>
      </c>
      <c r="B50" s="68" t="str">
        <f>About!C90</f>
        <v>LPG/propane/butane</v>
      </c>
      <c r="C50" s="13">
        <v>19.115832999999999</v>
      </c>
      <c r="D50" s="13">
        <v>21.487525999999999</v>
      </c>
      <c r="E50" s="13">
        <v>19.669363000000001</v>
      </c>
      <c r="F50" s="13">
        <v>8.0593330000000005</v>
      </c>
      <c r="G50" s="13">
        <v>7.8534499999999996</v>
      </c>
      <c r="H50" s="13">
        <v>7.7194000000000003</v>
      </c>
      <c r="I50" s="13">
        <v>7.5779769999999997</v>
      </c>
      <c r="J50" s="13">
        <v>7.4535299999999998</v>
      </c>
      <c r="K50" s="13">
        <v>7.5303089999999999</v>
      </c>
      <c r="L50" s="13">
        <v>7.4947049999999997</v>
      </c>
      <c r="M50" s="13">
        <v>7.4894509999999999</v>
      </c>
      <c r="N50" s="13">
        <v>7.536842</v>
      </c>
      <c r="O50" s="13">
        <v>7.5779370000000004</v>
      </c>
      <c r="P50" s="13">
        <v>7.5590380000000001</v>
      </c>
      <c r="Q50" s="13">
        <v>7.5526350000000004</v>
      </c>
      <c r="R50" s="13">
        <v>7.5817680000000003</v>
      </c>
      <c r="S50" s="13">
        <v>7.5894570000000003</v>
      </c>
      <c r="T50" s="13">
        <v>7.5472260000000002</v>
      </c>
      <c r="U50" s="13">
        <v>7.547339</v>
      </c>
      <c r="V50" s="13">
        <v>7.5569660000000001</v>
      </c>
      <c r="W50" s="13">
        <v>7.5524820000000004</v>
      </c>
      <c r="X50" s="13">
        <v>7.5835460000000001</v>
      </c>
      <c r="Y50" s="13">
        <v>7.5757580000000004</v>
      </c>
      <c r="Z50" s="13">
        <v>7.5659619999999999</v>
      </c>
      <c r="AA50" s="13">
        <v>7.5646279999999999</v>
      </c>
      <c r="AB50" s="13">
        <v>7.5650250000000003</v>
      </c>
      <c r="AC50" s="13">
        <v>7.551628</v>
      </c>
      <c r="AD50" s="13">
        <v>7.5897170000000003</v>
      </c>
      <c r="AE50" s="13">
        <v>7.6095430000000004</v>
      </c>
      <c r="AF50" s="13">
        <v>7.6475410000000004</v>
      </c>
      <c r="AG50" s="13">
        <v>7.6915009999999997</v>
      </c>
      <c r="AH50" s="13">
        <v>7.7759080000000003</v>
      </c>
      <c r="AI50" s="13">
        <v>7.8143979999999997</v>
      </c>
      <c r="AJ50" s="13">
        <v>7.8686980000000002</v>
      </c>
    </row>
    <row r="51" spans="1:37" s="9" customFormat="1" ht="15" customHeight="1">
      <c r="A51" s="12" t="s">
        <v>32</v>
      </c>
      <c r="B51" s="68" t="str">
        <f>About!C96</f>
        <v>Petroleum Diesel</v>
      </c>
      <c r="C51" s="13">
        <v>25.477810000000002</v>
      </c>
      <c r="D51" s="13">
        <v>22.843771</v>
      </c>
      <c r="E51" s="13">
        <v>27.724371000000001</v>
      </c>
      <c r="F51" s="13">
        <v>24.374963999999999</v>
      </c>
      <c r="G51" s="13">
        <v>21.463256999999999</v>
      </c>
      <c r="H51" s="13">
        <v>19.501622999999999</v>
      </c>
      <c r="I51" s="13">
        <v>17.839379999999998</v>
      </c>
      <c r="J51" s="13">
        <v>16.357285000000001</v>
      </c>
      <c r="K51" s="13">
        <v>17.288792000000001</v>
      </c>
      <c r="L51" s="13">
        <v>17.044001000000002</v>
      </c>
      <c r="M51" s="13">
        <v>16.442917000000001</v>
      </c>
      <c r="N51" s="13">
        <v>16.668434000000001</v>
      </c>
      <c r="O51" s="13">
        <v>16.386232</v>
      </c>
      <c r="P51" s="13">
        <v>16.201965000000001</v>
      </c>
      <c r="Q51" s="13">
        <v>15.826586000000001</v>
      </c>
      <c r="R51" s="13">
        <v>16.008109999999999</v>
      </c>
      <c r="S51" s="13">
        <v>15.91747</v>
      </c>
      <c r="T51" s="13">
        <v>15.733362</v>
      </c>
      <c r="U51" s="13">
        <v>15.571637000000001</v>
      </c>
      <c r="V51" s="13">
        <v>15.445834</v>
      </c>
      <c r="W51" s="13">
        <v>15.379106</v>
      </c>
      <c r="X51" s="13">
        <v>15.242486</v>
      </c>
      <c r="Y51" s="13">
        <v>15.041518</v>
      </c>
      <c r="Z51" s="13">
        <v>14.925312</v>
      </c>
      <c r="AA51" s="13">
        <v>14.714753999999999</v>
      </c>
      <c r="AB51" s="13">
        <v>14.552113</v>
      </c>
      <c r="AC51" s="13">
        <v>14.5472</v>
      </c>
      <c r="AD51" s="13">
        <v>14.746506</v>
      </c>
      <c r="AE51" s="13">
        <v>14.811648999999999</v>
      </c>
      <c r="AF51" s="13">
        <v>14.911763000000001</v>
      </c>
      <c r="AG51" s="13">
        <v>15.040013999999999</v>
      </c>
      <c r="AH51" s="13">
        <v>15.445525999999999</v>
      </c>
      <c r="AI51" s="13">
        <v>15.689363</v>
      </c>
      <c r="AJ51" s="13">
        <v>15.961023000000001</v>
      </c>
    </row>
    <row r="52" spans="1:37" s="9" customFormat="1" ht="15" customHeight="1">
      <c r="A52" s="12" t="s">
        <v>33</v>
      </c>
      <c r="B52" s="68" t="str">
        <f>About!C98</f>
        <v>Heavy or Residual Oil</v>
      </c>
      <c r="C52" s="13">
        <v>185.09726000000001</v>
      </c>
      <c r="D52" s="13">
        <v>172.880402</v>
      </c>
      <c r="E52" s="13">
        <v>188.857742</v>
      </c>
      <c r="F52" s="13">
        <v>164.777039</v>
      </c>
      <c r="G52" s="13">
        <v>144.47254899999999</v>
      </c>
      <c r="H52" s="13">
        <v>130.805115</v>
      </c>
      <c r="I52" s="13">
        <v>118.65836299999999</v>
      </c>
      <c r="J52" s="13">
        <v>108.206177</v>
      </c>
      <c r="K52" s="13">
        <v>112.19910400000001</v>
      </c>
      <c r="L52" s="13">
        <v>109.635445</v>
      </c>
      <c r="M52" s="13">
        <v>105.822159</v>
      </c>
      <c r="N52" s="13">
        <v>105.898087</v>
      </c>
      <c r="O52" s="13">
        <v>103.00573</v>
      </c>
      <c r="P52" s="13">
        <v>102.161072</v>
      </c>
      <c r="Q52" s="13">
        <v>99.987792999999996</v>
      </c>
      <c r="R52" s="13">
        <v>101.265518</v>
      </c>
      <c r="S52" s="13">
        <v>101.463646</v>
      </c>
      <c r="T52" s="13">
        <v>99.908225999999999</v>
      </c>
      <c r="U52" s="13">
        <v>99.151955000000001</v>
      </c>
      <c r="V52" s="13">
        <v>98.695617999999996</v>
      </c>
      <c r="W52" s="13">
        <v>97.769638</v>
      </c>
      <c r="X52" s="13">
        <v>97.097206</v>
      </c>
      <c r="Y52" s="13">
        <v>95.866416999999998</v>
      </c>
      <c r="Z52" s="13">
        <v>95.360275000000001</v>
      </c>
      <c r="AA52" s="13">
        <v>93.928641999999996</v>
      </c>
      <c r="AB52" s="13">
        <v>92.927834000000004</v>
      </c>
      <c r="AC52" s="13">
        <v>92.679931999999994</v>
      </c>
      <c r="AD52" s="13">
        <v>93.720153999999994</v>
      </c>
      <c r="AE52" s="13">
        <v>93.873917000000006</v>
      </c>
      <c r="AF52" s="13">
        <v>94.234718000000001</v>
      </c>
      <c r="AG52" s="13">
        <v>94.776909000000003</v>
      </c>
      <c r="AH52" s="13">
        <v>97.028267</v>
      </c>
      <c r="AI52" s="13">
        <v>98.183266000000003</v>
      </c>
      <c r="AJ52" s="13">
        <v>99.663719</v>
      </c>
    </row>
    <row r="53" spans="1:37" s="9" customFormat="1" ht="15" customHeight="1">
      <c r="A53" s="12" t="s">
        <v>87</v>
      </c>
      <c r="B53" s="68"/>
      <c r="C53" s="13">
        <v>275.50824</v>
      </c>
      <c r="D53" s="13">
        <v>264.45541400000002</v>
      </c>
      <c r="E53" s="13">
        <v>288.28735399999999</v>
      </c>
      <c r="F53" s="13">
        <v>249.65576200000001</v>
      </c>
      <c r="G53" s="13">
        <v>228.27297999999999</v>
      </c>
      <c r="H53" s="13">
        <v>214.55523700000001</v>
      </c>
      <c r="I53" s="13">
        <v>201.76666299999999</v>
      </c>
      <c r="J53" s="13">
        <v>191.38833600000001</v>
      </c>
      <c r="K53" s="13">
        <v>198.02783199999999</v>
      </c>
      <c r="L53" s="13">
        <v>196.33090200000001</v>
      </c>
      <c r="M53" s="13">
        <v>193.924194</v>
      </c>
      <c r="N53" s="13">
        <v>195.79184000000001</v>
      </c>
      <c r="O53" s="13">
        <v>194.59326200000001</v>
      </c>
      <c r="P53" s="13">
        <v>194.60043300000001</v>
      </c>
      <c r="Q53" s="13">
        <v>193.523651</v>
      </c>
      <c r="R53" s="13">
        <v>196.84115600000001</v>
      </c>
      <c r="S53" s="13">
        <v>198.711365</v>
      </c>
      <c r="T53" s="13">
        <v>197.81033300000001</v>
      </c>
      <c r="U53" s="13">
        <v>198.69368</v>
      </c>
      <c r="V53" s="13">
        <v>200.44168099999999</v>
      </c>
      <c r="W53" s="13">
        <v>200.61799600000001</v>
      </c>
      <c r="X53" s="13">
        <v>202.53543099999999</v>
      </c>
      <c r="Y53" s="13">
        <v>203.250595</v>
      </c>
      <c r="Z53" s="13">
        <v>204.613586</v>
      </c>
      <c r="AA53" s="13">
        <v>205.49598700000001</v>
      </c>
      <c r="AB53" s="13">
        <v>207.13742099999999</v>
      </c>
      <c r="AC53" s="13">
        <v>208.346115</v>
      </c>
      <c r="AD53" s="13">
        <v>212.15850800000001</v>
      </c>
      <c r="AE53" s="13">
        <v>214.55050700000001</v>
      </c>
      <c r="AF53" s="13">
        <v>217.586502</v>
      </c>
      <c r="AG53" s="13">
        <v>220.89004499999999</v>
      </c>
      <c r="AH53" s="13">
        <v>227.14648399999999</v>
      </c>
      <c r="AI53" s="13">
        <v>230.66729699999999</v>
      </c>
      <c r="AJ53" s="13">
        <v>235.26834099999999</v>
      </c>
    </row>
    <row r="54" spans="1:37" s="9" customFormat="1" ht="15" customHeight="1">
      <c r="A54" s="12" t="s">
        <v>34</v>
      </c>
      <c r="B54" s="68"/>
      <c r="C54" s="13">
        <v>2316.1728520000001</v>
      </c>
      <c r="D54" s="13">
        <v>2420.3298340000001</v>
      </c>
      <c r="E54" s="13">
        <v>2420.9914549999999</v>
      </c>
      <c r="F54" s="13">
        <v>2522.5664059999999</v>
      </c>
      <c r="G54" s="13">
        <v>2650.9101559999999</v>
      </c>
      <c r="H54" s="13">
        <v>2741.0429690000001</v>
      </c>
      <c r="I54" s="13">
        <v>2808.6064449999999</v>
      </c>
      <c r="J54" s="13">
        <v>2883.1655270000001</v>
      </c>
      <c r="K54" s="13">
        <v>2894.5170899999998</v>
      </c>
      <c r="L54" s="13">
        <v>2915.5959469999998</v>
      </c>
      <c r="M54" s="13">
        <v>2973.8901369999999</v>
      </c>
      <c r="N54" s="13">
        <v>2993.9526369999999</v>
      </c>
      <c r="O54" s="13">
        <v>3035.569336</v>
      </c>
      <c r="P54" s="13">
        <v>3037.8032229999999</v>
      </c>
      <c r="Q54" s="13">
        <v>3058.7822270000001</v>
      </c>
      <c r="R54" s="13">
        <v>3067.576904</v>
      </c>
      <c r="S54" s="13">
        <v>3075.4580080000001</v>
      </c>
      <c r="T54" s="13">
        <v>3065.4167480000001</v>
      </c>
      <c r="U54" s="13">
        <v>3074.6601559999999</v>
      </c>
      <c r="V54" s="13">
        <v>3091.5344239999999</v>
      </c>
      <c r="W54" s="13">
        <v>3090.8637699999999</v>
      </c>
      <c r="X54" s="13">
        <v>3115.8842770000001</v>
      </c>
      <c r="Y54" s="13">
        <v>3129.4350589999999</v>
      </c>
      <c r="Z54" s="13">
        <v>3133.8671880000002</v>
      </c>
      <c r="AA54" s="13">
        <v>3151.9785160000001</v>
      </c>
      <c r="AB54" s="13">
        <v>3172.3666990000002</v>
      </c>
      <c r="AC54" s="13">
        <v>3167.4072270000001</v>
      </c>
      <c r="AD54" s="13">
        <v>3176.6628420000002</v>
      </c>
      <c r="AE54" s="13">
        <v>3182.7114259999998</v>
      </c>
      <c r="AF54" s="13">
        <v>3194.4262699999999</v>
      </c>
      <c r="AG54" s="13">
        <v>3206.189453</v>
      </c>
      <c r="AH54" s="13">
        <v>3225.3940429999998</v>
      </c>
      <c r="AI54" s="13">
        <v>3228.3696289999998</v>
      </c>
      <c r="AJ54" s="13">
        <v>3245.5859380000002</v>
      </c>
    </row>
    <row r="55" spans="1:37" s="9" customFormat="1" ht="15" customHeight="1">
      <c r="A55" s="12" t="s">
        <v>35</v>
      </c>
      <c r="B55" s="68"/>
      <c r="C55" s="13">
        <v>56.570048999999997</v>
      </c>
      <c r="D55" s="13">
        <v>51.747002000000002</v>
      </c>
      <c r="E55" s="13">
        <v>51.339401000000002</v>
      </c>
      <c r="F55" s="13">
        <v>52.970633999999997</v>
      </c>
      <c r="G55" s="13">
        <v>54.83567</v>
      </c>
      <c r="H55" s="13">
        <v>55.827835</v>
      </c>
      <c r="I55" s="13">
        <v>56.740890999999998</v>
      </c>
      <c r="J55" s="13">
        <v>57.742919999999998</v>
      </c>
      <c r="K55" s="13">
        <v>58.677005999999999</v>
      </c>
      <c r="L55" s="13">
        <v>59.118789999999997</v>
      </c>
      <c r="M55" s="13">
        <v>59.725822000000001</v>
      </c>
      <c r="N55" s="13">
        <v>60.208571999999997</v>
      </c>
      <c r="O55" s="13">
        <v>60.770485000000001</v>
      </c>
      <c r="P55" s="13">
        <v>60.744475999999999</v>
      </c>
      <c r="Q55" s="13">
        <v>60.779654999999998</v>
      </c>
      <c r="R55" s="13">
        <v>60.843513000000002</v>
      </c>
      <c r="S55" s="13">
        <v>60.885323</v>
      </c>
      <c r="T55" s="13">
        <v>60.781647</v>
      </c>
      <c r="U55" s="13">
        <v>60.809348999999997</v>
      </c>
      <c r="V55" s="13">
        <v>60.882607</v>
      </c>
      <c r="W55" s="13">
        <v>60.824939999999998</v>
      </c>
      <c r="X55" s="13">
        <v>60.928325999999998</v>
      </c>
      <c r="Y55" s="13">
        <v>60.945357999999999</v>
      </c>
      <c r="Z55" s="13">
        <v>60.951622</v>
      </c>
      <c r="AA55" s="13">
        <v>61.010024999999999</v>
      </c>
      <c r="AB55" s="13">
        <v>61.082577000000001</v>
      </c>
      <c r="AC55" s="13">
        <v>61.016342000000002</v>
      </c>
      <c r="AD55" s="13">
        <v>61.058692999999998</v>
      </c>
      <c r="AE55" s="13">
        <v>61.054436000000003</v>
      </c>
      <c r="AF55" s="13">
        <v>61.082915999999997</v>
      </c>
      <c r="AG55" s="13">
        <v>61.110709999999997</v>
      </c>
      <c r="AH55" s="13">
        <v>61.218040000000002</v>
      </c>
      <c r="AI55" s="13">
        <v>61.174033999999999</v>
      </c>
      <c r="AJ55" s="13">
        <v>61.196570999999999</v>
      </c>
    </row>
    <row r="56" spans="1:37" s="9" customFormat="1" ht="15" customHeight="1">
      <c r="A56" s="12" t="s">
        <v>36</v>
      </c>
      <c r="B56" s="68"/>
      <c r="C56" s="13">
        <v>2.4903000000000002E-2</v>
      </c>
      <c r="D56" s="13">
        <v>2.5416999999999999E-2</v>
      </c>
      <c r="E56" s="13">
        <v>2.4674000000000001E-2</v>
      </c>
      <c r="F56" s="13">
        <v>2.4816000000000001E-2</v>
      </c>
      <c r="G56" s="13">
        <v>2.4958000000000001E-2</v>
      </c>
      <c r="H56" s="13">
        <v>2.5028999999999999E-2</v>
      </c>
      <c r="I56" s="13">
        <v>2.5100000000000001E-2</v>
      </c>
      <c r="J56" s="13">
        <v>2.5170999999999999E-2</v>
      </c>
      <c r="K56" s="13">
        <v>2.5243000000000002E-2</v>
      </c>
      <c r="L56" s="13">
        <v>2.5277999999999998E-2</v>
      </c>
      <c r="M56" s="13">
        <v>2.5314E-2</v>
      </c>
      <c r="N56" s="13">
        <v>2.5349E-2</v>
      </c>
      <c r="O56" s="13">
        <v>2.5385000000000001E-2</v>
      </c>
      <c r="P56" s="13">
        <v>2.5385000000000001E-2</v>
      </c>
      <c r="Q56" s="13">
        <v>2.5385000000000001E-2</v>
      </c>
      <c r="R56" s="13">
        <v>2.5385000000000001E-2</v>
      </c>
      <c r="S56" s="13">
        <v>2.5385000000000001E-2</v>
      </c>
      <c r="T56" s="13">
        <v>2.5385000000000001E-2</v>
      </c>
      <c r="U56" s="13">
        <v>2.5385000000000001E-2</v>
      </c>
      <c r="V56" s="13">
        <v>2.5385000000000001E-2</v>
      </c>
      <c r="W56" s="13">
        <v>2.5385000000000001E-2</v>
      </c>
      <c r="X56" s="13">
        <v>2.5385000000000001E-2</v>
      </c>
      <c r="Y56" s="13">
        <v>2.5385000000000001E-2</v>
      </c>
      <c r="Z56" s="13">
        <v>2.5385000000000001E-2</v>
      </c>
      <c r="AA56" s="13">
        <v>2.5385000000000001E-2</v>
      </c>
      <c r="AB56" s="13">
        <v>2.5385000000000001E-2</v>
      </c>
      <c r="AC56" s="13">
        <v>2.5385000000000001E-2</v>
      </c>
      <c r="AD56" s="13">
        <v>2.5385000000000001E-2</v>
      </c>
      <c r="AE56" s="13">
        <v>2.5385000000000001E-2</v>
      </c>
      <c r="AF56" s="13">
        <v>2.5385000000000001E-2</v>
      </c>
      <c r="AG56" s="13">
        <v>2.5385000000000001E-2</v>
      </c>
      <c r="AH56" s="13">
        <v>2.5385000000000001E-2</v>
      </c>
      <c r="AI56" s="13">
        <v>2.5385000000000001E-2</v>
      </c>
      <c r="AJ56" s="13">
        <v>2.5385000000000001E-2</v>
      </c>
    </row>
    <row r="57" spans="1:37" s="9" customFormat="1" ht="15" customHeight="1">
      <c r="A57" s="12" t="s">
        <v>37</v>
      </c>
      <c r="B57" s="68"/>
      <c r="C57" s="13">
        <v>416.97131300000001</v>
      </c>
      <c r="D57" s="13">
        <v>415.24093599999998</v>
      </c>
      <c r="E57" s="13">
        <v>433.12463400000001</v>
      </c>
      <c r="F57" s="13">
        <v>448.21026599999999</v>
      </c>
      <c r="G57" s="13">
        <v>472.18029799999999</v>
      </c>
      <c r="H57" s="13">
        <v>488.02465799999999</v>
      </c>
      <c r="I57" s="13">
        <v>499.04254200000003</v>
      </c>
      <c r="J57" s="13">
        <v>512.08990500000004</v>
      </c>
      <c r="K57" s="13">
        <v>521.35870399999999</v>
      </c>
      <c r="L57" s="13">
        <v>525.98779300000001</v>
      </c>
      <c r="M57" s="13">
        <v>537.97827099999995</v>
      </c>
      <c r="N57" s="13">
        <v>544.25628700000004</v>
      </c>
      <c r="O57" s="13">
        <v>552.69348100000002</v>
      </c>
      <c r="P57" s="13">
        <v>551.94647199999997</v>
      </c>
      <c r="Q57" s="13">
        <v>554.09582499999999</v>
      </c>
      <c r="R57" s="13">
        <v>556.02856399999996</v>
      </c>
      <c r="S57" s="13">
        <v>556.15991199999996</v>
      </c>
      <c r="T57" s="13">
        <v>550.59539800000005</v>
      </c>
      <c r="U57" s="13">
        <v>549.39630099999999</v>
      </c>
      <c r="V57" s="13">
        <v>549.86621100000002</v>
      </c>
      <c r="W57" s="13">
        <v>545.90301499999998</v>
      </c>
      <c r="X57" s="13">
        <v>548.52477999999996</v>
      </c>
      <c r="Y57" s="13">
        <v>546.64550799999995</v>
      </c>
      <c r="Z57" s="13">
        <v>542.75</v>
      </c>
      <c r="AA57" s="13">
        <v>540.56823699999995</v>
      </c>
      <c r="AB57" s="13">
        <v>538.88372800000002</v>
      </c>
      <c r="AC57" s="13">
        <v>531.29504399999996</v>
      </c>
      <c r="AD57" s="13">
        <v>528.28924600000005</v>
      </c>
      <c r="AE57" s="13">
        <v>523.32299799999998</v>
      </c>
      <c r="AF57" s="13">
        <v>519.74883999999997</v>
      </c>
      <c r="AG57" s="13">
        <v>515.98168899999996</v>
      </c>
      <c r="AH57" s="13">
        <v>515.379456</v>
      </c>
      <c r="AI57" s="13">
        <v>508.66433699999999</v>
      </c>
      <c r="AJ57" s="13">
        <v>504.405304</v>
      </c>
    </row>
    <row r="58" spans="1:37" s="9" customFormat="1" ht="15" customHeight="1">
      <c r="A58" s="12" t="s">
        <v>38</v>
      </c>
      <c r="B58" s="68"/>
      <c r="C58" s="13">
        <v>3065.2475589999999</v>
      </c>
      <c r="D58" s="13">
        <v>3151.7985840000001</v>
      </c>
      <c r="E58" s="13">
        <v>3193.7673340000001</v>
      </c>
      <c r="F58" s="13">
        <v>3273.4279790000001</v>
      </c>
      <c r="G58" s="13">
        <v>3406.2241210000002</v>
      </c>
      <c r="H58" s="13">
        <v>3499.4758299999999</v>
      </c>
      <c r="I58" s="13">
        <v>3566.1816410000001</v>
      </c>
      <c r="J58" s="13">
        <v>3644.411865</v>
      </c>
      <c r="K58" s="13">
        <v>3672.6057129999999</v>
      </c>
      <c r="L58" s="13">
        <v>3697.0588379999999</v>
      </c>
      <c r="M58" s="13">
        <v>3765.5439449999999</v>
      </c>
      <c r="N58" s="13">
        <v>3794.2346189999998</v>
      </c>
      <c r="O58" s="13">
        <v>3843.6518550000001</v>
      </c>
      <c r="P58" s="13">
        <v>3845.1198730000001</v>
      </c>
      <c r="Q58" s="13">
        <v>3867.2065429999998</v>
      </c>
      <c r="R58" s="13">
        <v>3881.3154300000001</v>
      </c>
      <c r="S58" s="13">
        <v>3891.23999</v>
      </c>
      <c r="T58" s="13">
        <v>3874.6296390000002</v>
      </c>
      <c r="U58" s="13">
        <v>3883.5847170000002</v>
      </c>
      <c r="V58" s="13">
        <v>3902.7502439999998</v>
      </c>
      <c r="W58" s="13">
        <v>3898.235107</v>
      </c>
      <c r="X58" s="13">
        <v>3927.8979490000002</v>
      </c>
      <c r="Y58" s="13">
        <v>3940.3017580000001</v>
      </c>
      <c r="Z58" s="13">
        <v>3942.2077640000002</v>
      </c>
      <c r="AA58" s="13">
        <v>3959.078125</v>
      </c>
      <c r="AB58" s="13">
        <v>3979.4958499999998</v>
      </c>
      <c r="AC58" s="13">
        <v>3968.0903320000002</v>
      </c>
      <c r="AD58" s="13">
        <v>3978.1945799999999</v>
      </c>
      <c r="AE58" s="13">
        <v>3981.6647950000001</v>
      </c>
      <c r="AF58" s="13">
        <v>3992.8698730000001</v>
      </c>
      <c r="AG58" s="13">
        <v>4004.1972660000001</v>
      </c>
      <c r="AH58" s="13">
        <v>4029.1633299999999</v>
      </c>
      <c r="AI58" s="13">
        <v>4028.900635</v>
      </c>
      <c r="AJ58" s="13">
        <v>4046.4814449999999</v>
      </c>
    </row>
    <row r="59" spans="1:37" s="9" customFormat="1" ht="15" customHeight="1">
      <c r="A59" s="27" t="s">
        <v>120</v>
      </c>
      <c r="B59" s="27"/>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row>
    <row r="60" spans="1:37" s="9" customFormat="1" ht="15" customHeight="1">
      <c r="A60" s="12" t="s">
        <v>121</v>
      </c>
      <c r="B60" s="68" t="str">
        <f>About!C91</f>
        <v>LPG/propane/butane</v>
      </c>
      <c r="C60" s="13">
        <v>2350.5998540000001</v>
      </c>
      <c r="D60" s="13">
        <v>2575.3000489999999</v>
      </c>
      <c r="E60" s="13">
        <v>2780.1999510000001</v>
      </c>
      <c r="F60" s="13">
        <v>2933.1000979999999</v>
      </c>
      <c r="G60" s="13">
        <v>3145.1999510000001</v>
      </c>
      <c r="H60" s="13">
        <v>3239.655029</v>
      </c>
      <c r="I60" s="13">
        <v>3300.984375</v>
      </c>
      <c r="J60" s="13">
        <v>3374.220703</v>
      </c>
      <c r="K60" s="13">
        <v>3424.1669919999999</v>
      </c>
      <c r="L60" s="13">
        <v>3458.1076659999999</v>
      </c>
      <c r="M60" s="13">
        <v>3539.5097660000001</v>
      </c>
      <c r="N60" s="13">
        <v>3584.4145509999998</v>
      </c>
      <c r="O60" s="13">
        <v>3649.616211</v>
      </c>
      <c r="P60" s="13">
        <v>3676.0507809999999</v>
      </c>
      <c r="Q60" s="13">
        <v>3721.4567870000001</v>
      </c>
      <c r="R60" s="13">
        <v>3767.0727539999998</v>
      </c>
      <c r="S60" s="13">
        <v>3801.0095209999999</v>
      </c>
      <c r="T60" s="13">
        <v>3794.005615</v>
      </c>
      <c r="U60" s="13">
        <v>3818.7700199999999</v>
      </c>
      <c r="V60" s="13">
        <v>3854.7536620000001</v>
      </c>
      <c r="W60" s="13">
        <v>3864.2084960000002</v>
      </c>
      <c r="X60" s="13">
        <v>3917.2695309999999</v>
      </c>
      <c r="Y60" s="13">
        <v>3943.3718260000001</v>
      </c>
      <c r="Z60" s="13">
        <v>3956.7407229999999</v>
      </c>
      <c r="AA60" s="13">
        <v>3984.451172</v>
      </c>
      <c r="AB60" s="13">
        <v>4016.805664</v>
      </c>
      <c r="AC60" s="13">
        <v>4009.5119629999999</v>
      </c>
      <c r="AD60" s="13">
        <v>4034.3320309999999</v>
      </c>
      <c r="AE60" s="13">
        <v>4047.2321780000002</v>
      </c>
      <c r="AF60" s="13">
        <v>4070.7822270000001</v>
      </c>
      <c r="AG60" s="13">
        <v>4093.555664</v>
      </c>
      <c r="AH60" s="13">
        <v>4140.7958980000003</v>
      </c>
      <c r="AI60" s="13">
        <v>4146.1367190000001</v>
      </c>
      <c r="AJ60" s="13">
        <v>4171.5903319999998</v>
      </c>
      <c r="AK60" s="19">
        <v>1.5187000000000001E-2</v>
      </c>
    </row>
    <row r="61" spans="1:37" s="9" customFormat="1" ht="15" customHeight="1">
      <c r="A61" s="12" t="s">
        <v>122</v>
      </c>
      <c r="B61" s="68" t="str">
        <f>About!C95</f>
        <v>LPG/propane/butane</v>
      </c>
      <c r="C61" s="13">
        <v>699.10003700000004</v>
      </c>
      <c r="D61" s="13">
        <v>656.89996299999996</v>
      </c>
      <c r="E61" s="13">
        <v>698</v>
      </c>
      <c r="F61" s="13">
        <v>729.49310300000002</v>
      </c>
      <c r="G61" s="13">
        <v>774.07763699999998</v>
      </c>
      <c r="H61" s="13">
        <v>819.40734899999995</v>
      </c>
      <c r="I61" s="13">
        <v>855.19079599999998</v>
      </c>
      <c r="J61" s="13">
        <v>897.21575900000005</v>
      </c>
      <c r="K61" s="13">
        <v>928.13879399999996</v>
      </c>
      <c r="L61" s="13">
        <v>950.19470200000001</v>
      </c>
      <c r="M61" s="13">
        <v>994.43682899999999</v>
      </c>
      <c r="N61" s="13">
        <v>1022.676636</v>
      </c>
      <c r="O61" s="13">
        <v>1058.9327390000001</v>
      </c>
      <c r="P61" s="13">
        <v>1076.450928</v>
      </c>
      <c r="Q61" s="13">
        <v>1101.5648189999999</v>
      </c>
      <c r="R61" s="13">
        <v>1127.150635</v>
      </c>
      <c r="S61" s="13">
        <v>1146.841064</v>
      </c>
      <c r="T61" s="13">
        <v>1145.2261960000001</v>
      </c>
      <c r="U61" s="13">
        <v>1158.484375</v>
      </c>
      <c r="V61" s="13">
        <v>1177.855591</v>
      </c>
      <c r="W61" s="13">
        <v>1185.0074460000001</v>
      </c>
      <c r="X61" s="13">
        <v>1212.7607419999999</v>
      </c>
      <c r="Y61" s="13">
        <v>1228.561768</v>
      </c>
      <c r="Z61" s="13">
        <v>1237.0905760000001</v>
      </c>
      <c r="AA61" s="13">
        <v>1251.802612</v>
      </c>
      <c r="AB61" s="13">
        <v>1269.3554690000001</v>
      </c>
      <c r="AC61" s="13">
        <v>1267.557495</v>
      </c>
      <c r="AD61" s="13">
        <v>1280.7438959999999</v>
      </c>
      <c r="AE61" s="13">
        <v>1288.6660159999999</v>
      </c>
      <c r="AF61" s="13">
        <v>1301.6655270000001</v>
      </c>
      <c r="AG61" s="13">
        <v>1314.5463870000001</v>
      </c>
      <c r="AH61" s="13">
        <v>1339.6220699999999</v>
      </c>
      <c r="AI61" s="13">
        <v>1342.287842</v>
      </c>
      <c r="AJ61" s="13">
        <v>1358.152832</v>
      </c>
      <c r="AK61" s="19">
        <v>2.2957999999999999E-2</v>
      </c>
    </row>
    <row r="62" spans="1:37" s="9" customFormat="1" ht="15" customHeight="1">
      <c r="A62" s="12" t="s">
        <v>34</v>
      </c>
      <c r="B62" s="68"/>
      <c r="C62" s="13">
        <v>825.99993900000004</v>
      </c>
      <c r="D62" s="13">
        <v>894.00006099999996</v>
      </c>
      <c r="E62" s="13">
        <v>947</v>
      </c>
      <c r="F62" s="13">
        <v>957.99987799999997</v>
      </c>
      <c r="G62" s="13">
        <v>965.99993900000004</v>
      </c>
      <c r="H62" s="13">
        <v>984.08117700000003</v>
      </c>
      <c r="I62" s="13">
        <v>999.60876499999995</v>
      </c>
      <c r="J62" s="13">
        <v>1017.375732</v>
      </c>
      <c r="K62" s="13">
        <v>1031.410034</v>
      </c>
      <c r="L62" s="13">
        <v>1043.4548339999999</v>
      </c>
      <c r="M62" s="13">
        <v>1060.513062</v>
      </c>
      <c r="N62" s="13">
        <v>1072.3432620000001</v>
      </c>
      <c r="O62" s="13">
        <v>1079.781616</v>
      </c>
      <c r="P62" s="13">
        <v>1079.087769</v>
      </c>
      <c r="Q62" s="13">
        <v>1083.4895019999999</v>
      </c>
      <c r="R62" s="13">
        <v>1095.5555420000001</v>
      </c>
      <c r="S62" s="13">
        <v>1096.4395750000001</v>
      </c>
      <c r="T62" s="13">
        <v>1094.7036129999999</v>
      </c>
      <c r="U62" s="13">
        <v>1097.1083980000001</v>
      </c>
      <c r="V62" s="13">
        <v>1103.5579829999999</v>
      </c>
      <c r="W62" s="13">
        <v>1106.290039</v>
      </c>
      <c r="X62" s="13">
        <v>1115.955322</v>
      </c>
      <c r="Y62" s="13">
        <v>1120.4399410000001</v>
      </c>
      <c r="Z62" s="13">
        <v>1121.762939</v>
      </c>
      <c r="AA62" s="13">
        <v>1123.5668949999999</v>
      </c>
      <c r="AB62" s="13">
        <v>1126.256592</v>
      </c>
      <c r="AC62" s="13">
        <v>1124.2806399999999</v>
      </c>
      <c r="AD62" s="13">
        <v>1127.24585</v>
      </c>
      <c r="AE62" s="13">
        <v>1128.401245</v>
      </c>
      <c r="AF62" s="13">
        <v>1131.0004879999999</v>
      </c>
      <c r="AG62" s="13">
        <v>1134.201904</v>
      </c>
      <c r="AH62" s="13">
        <v>1141.446289</v>
      </c>
      <c r="AI62" s="13">
        <v>1143.33374</v>
      </c>
      <c r="AJ62" s="13">
        <v>1147.42688</v>
      </c>
      <c r="AK62" s="19">
        <v>7.8300000000000002E-3</v>
      </c>
    </row>
    <row r="63" spans="1:37" s="9" customFormat="1" ht="15" customHeight="1">
      <c r="A63" s="12" t="s">
        <v>123</v>
      </c>
      <c r="B63" s="68"/>
      <c r="C63" s="13">
        <v>3875.6999510000001</v>
      </c>
      <c r="D63" s="13">
        <v>4126.2001950000003</v>
      </c>
      <c r="E63" s="13">
        <v>4425.2001950000003</v>
      </c>
      <c r="F63" s="13">
        <v>4620.5932620000003</v>
      </c>
      <c r="G63" s="13">
        <v>4885.2773440000001</v>
      </c>
      <c r="H63" s="13">
        <v>5043.1435549999997</v>
      </c>
      <c r="I63" s="13">
        <v>5155.7841799999997</v>
      </c>
      <c r="J63" s="13">
        <v>5288.8125</v>
      </c>
      <c r="K63" s="13">
        <v>5383.7158200000003</v>
      </c>
      <c r="L63" s="13">
        <v>5451.7568359999996</v>
      </c>
      <c r="M63" s="13">
        <v>5594.4599609999996</v>
      </c>
      <c r="N63" s="13">
        <v>5679.4345700000003</v>
      </c>
      <c r="O63" s="13">
        <v>5788.3305659999996</v>
      </c>
      <c r="P63" s="13">
        <v>5831.5898440000001</v>
      </c>
      <c r="Q63" s="13">
        <v>5906.5107420000004</v>
      </c>
      <c r="R63" s="13">
        <v>5989.779297</v>
      </c>
      <c r="S63" s="13">
        <v>6044.2900390000004</v>
      </c>
      <c r="T63" s="13">
        <v>6033.935547</v>
      </c>
      <c r="U63" s="13">
        <v>6074.3627930000002</v>
      </c>
      <c r="V63" s="13">
        <v>6136.1674800000001</v>
      </c>
      <c r="W63" s="13">
        <v>6155.5058589999999</v>
      </c>
      <c r="X63" s="13">
        <v>6245.9853519999997</v>
      </c>
      <c r="Y63" s="13">
        <v>6292.3735349999997</v>
      </c>
      <c r="Z63" s="13">
        <v>6315.59375</v>
      </c>
      <c r="AA63" s="13">
        <v>6359.8208009999998</v>
      </c>
      <c r="AB63" s="13">
        <v>6412.4179690000001</v>
      </c>
      <c r="AC63" s="13">
        <v>6401.3500979999999</v>
      </c>
      <c r="AD63" s="13">
        <v>6442.3222660000001</v>
      </c>
      <c r="AE63" s="13">
        <v>6464.2998049999997</v>
      </c>
      <c r="AF63" s="13">
        <v>6503.4482420000004</v>
      </c>
      <c r="AG63" s="13">
        <v>6542.3037109999996</v>
      </c>
      <c r="AH63" s="13">
        <v>6621.8642579999996</v>
      </c>
      <c r="AI63" s="13">
        <v>6631.7587890000004</v>
      </c>
      <c r="AJ63" s="13">
        <v>6677.169922</v>
      </c>
      <c r="AK63" s="19">
        <v>1.5155E-2</v>
      </c>
    </row>
    <row r="64" spans="1:37" s="8" customFormat="1">
      <c r="A64" s="4" t="s">
        <v>89</v>
      </c>
      <c r="B64" s="4"/>
    </row>
    <row r="65" spans="1:37" s="9" customFormat="1" ht="15" customHeight="1">
      <c r="A65" s="12" t="s">
        <v>39</v>
      </c>
      <c r="B65" s="68" t="str">
        <f>About!C94</f>
        <v>Heavy or Residual Oil</v>
      </c>
      <c r="C65" s="13">
        <v>39.882384999999999</v>
      </c>
      <c r="D65" s="13">
        <v>38.484478000000003</v>
      </c>
      <c r="E65" s="13">
        <v>40.617511999999998</v>
      </c>
      <c r="F65" s="13">
        <v>43.001904000000003</v>
      </c>
      <c r="G65" s="13">
        <v>45.035167999999999</v>
      </c>
      <c r="H65" s="13">
        <v>46.355308999999998</v>
      </c>
      <c r="I65" s="13">
        <v>47.331696000000001</v>
      </c>
      <c r="J65" s="13">
        <v>48.426003000000001</v>
      </c>
      <c r="K65" s="13">
        <v>49.575099999999999</v>
      </c>
      <c r="L65" s="13">
        <v>50.665787000000002</v>
      </c>
      <c r="M65" s="13">
        <v>51.286541</v>
      </c>
      <c r="N65" s="13">
        <v>51.813155999999999</v>
      </c>
      <c r="O65" s="13">
        <v>52.434871999999999</v>
      </c>
      <c r="P65" s="13">
        <v>52.610385999999998</v>
      </c>
      <c r="Q65" s="13">
        <v>52.940089999999998</v>
      </c>
      <c r="R65" s="13">
        <v>53.016945</v>
      </c>
      <c r="S65" s="13">
        <v>53.198127999999997</v>
      </c>
      <c r="T65" s="13">
        <v>53.351272999999999</v>
      </c>
      <c r="U65" s="13">
        <v>53.533436000000002</v>
      </c>
      <c r="V65" s="13">
        <v>53.781638999999998</v>
      </c>
      <c r="W65" s="13">
        <v>53.968395000000001</v>
      </c>
      <c r="X65" s="13">
        <v>54.263905000000001</v>
      </c>
      <c r="Y65" s="13">
        <v>54.477932000000003</v>
      </c>
      <c r="Z65" s="13">
        <v>54.677253999999998</v>
      </c>
      <c r="AA65" s="13">
        <v>54.849570999999997</v>
      </c>
      <c r="AB65" s="13">
        <v>54.947612999999997</v>
      </c>
      <c r="AC65" s="13">
        <v>54.920357000000003</v>
      </c>
      <c r="AD65" s="13">
        <v>55.035178999999999</v>
      </c>
      <c r="AE65" s="13">
        <v>55.107044000000002</v>
      </c>
      <c r="AF65" s="13">
        <v>55.179062000000002</v>
      </c>
      <c r="AG65" s="13">
        <v>55.249293999999999</v>
      </c>
      <c r="AH65" s="13">
        <v>55.364269</v>
      </c>
      <c r="AI65" s="13">
        <v>55.362934000000003</v>
      </c>
      <c r="AJ65" s="13">
        <v>55.514305</v>
      </c>
      <c r="AK65" s="19"/>
    </row>
    <row r="66" spans="1:37" s="9" customFormat="1" ht="15" customHeight="1">
      <c r="A66" s="12" t="s">
        <v>40</v>
      </c>
      <c r="B66" s="68" t="str">
        <f>About!C93</f>
        <v>Petroleum Diesel</v>
      </c>
      <c r="C66" s="13">
        <v>228.57501199999999</v>
      </c>
      <c r="D66" s="13">
        <v>249.58551</v>
      </c>
      <c r="E66" s="13">
        <v>265.88174400000003</v>
      </c>
      <c r="F66" s="13">
        <v>268.63507099999998</v>
      </c>
      <c r="G66" s="13">
        <v>269.15570100000002</v>
      </c>
      <c r="H66" s="13">
        <v>270.38201900000001</v>
      </c>
      <c r="I66" s="13">
        <v>269.72000100000002</v>
      </c>
      <c r="J66" s="13">
        <v>269.701324</v>
      </c>
      <c r="K66" s="13">
        <v>269.580017</v>
      </c>
      <c r="L66" s="13">
        <v>270.821777</v>
      </c>
      <c r="M66" s="13">
        <v>269.66619900000001</v>
      </c>
      <c r="N66" s="13">
        <v>267.873535</v>
      </c>
      <c r="O66" s="13">
        <v>267.09759500000001</v>
      </c>
      <c r="P66" s="13">
        <v>265.93591300000003</v>
      </c>
      <c r="Q66" s="13">
        <v>265.14556900000002</v>
      </c>
      <c r="R66" s="13">
        <v>263.62719700000002</v>
      </c>
      <c r="S66" s="13">
        <v>262.805969</v>
      </c>
      <c r="T66" s="13">
        <v>261.72308299999997</v>
      </c>
      <c r="U66" s="13">
        <v>261.37872299999998</v>
      </c>
      <c r="V66" s="13">
        <v>261.40356400000002</v>
      </c>
      <c r="W66" s="13">
        <v>261.19372600000003</v>
      </c>
      <c r="X66" s="13">
        <v>261.45343000000003</v>
      </c>
      <c r="Y66" s="13">
        <v>261.60617100000002</v>
      </c>
      <c r="Z66" s="13">
        <v>261.487549</v>
      </c>
      <c r="AA66" s="13">
        <v>261.53527800000001</v>
      </c>
      <c r="AB66" s="13">
        <v>261.20864899999998</v>
      </c>
      <c r="AC66" s="13">
        <v>260.45056199999999</v>
      </c>
      <c r="AD66" s="13">
        <v>260.43566900000002</v>
      </c>
      <c r="AE66" s="13">
        <v>260.43197600000002</v>
      </c>
      <c r="AF66" s="13">
        <v>260.08300800000001</v>
      </c>
      <c r="AG66" s="13">
        <v>259.85461400000003</v>
      </c>
      <c r="AH66" s="13">
        <v>260.020691</v>
      </c>
      <c r="AI66" s="13">
        <v>259.66052200000001</v>
      </c>
      <c r="AJ66" s="13">
        <v>259.97198500000002</v>
      </c>
      <c r="AK66" s="19"/>
    </row>
    <row r="67" spans="1:37" s="9" customFormat="1" ht="15" customHeight="1">
      <c r="A67" s="12" t="s">
        <v>41</v>
      </c>
      <c r="B67" s="68" t="str">
        <f>About!C92</f>
        <v>Petroleum Diesel</v>
      </c>
      <c r="C67" s="13">
        <v>65.711997999999994</v>
      </c>
      <c r="D67" s="13">
        <v>69.452713000000003</v>
      </c>
      <c r="E67" s="13">
        <v>76.308921999999995</v>
      </c>
      <c r="F67" s="13">
        <v>79.001037999999994</v>
      </c>
      <c r="G67" s="13">
        <v>80.826920000000001</v>
      </c>
      <c r="H67" s="13">
        <v>81.87706</v>
      </c>
      <c r="I67" s="13">
        <v>82.313559999999995</v>
      </c>
      <c r="J67" s="13">
        <v>82.894729999999996</v>
      </c>
      <c r="K67" s="13">
        <v>83.530647000000002</v>
      </c>
      <c r="L67" s="13">
        <v>84.455070000000006</v>
      </c>
      <c r="M67" s="13">
        <v>84.528801000000001</v>
      </c>
      <c r="N67" s="13">
        <v>84.408980999999997</v>
      </c>
      <c r="O67" s="13">
        <v>84.355109999999996</v>
      </c>
      <c r="P67" s="13">
        <v>83.983161999999993</v>
      </c>
      <c r="Q67" s="13">
        <v>83.918419</v>
      </c>
      <c r="R67" s="13">
        <v>83.451537999999999</v>
      </c>
      <c r="S67" s="13">
        <v>83.091980000000007</v>
      </c>
      <c r="T67" s="13">
        <v>82.825798000000006</v>
      </c>
      <c r="U67" s="13">
        <v>82.533562000000003</v>
      </c>
      <c r="V67" s="13">
        <v>82.393271999999996</v>
      </c>
      <c r="W67" s="13">
        <v>82.168166999999997</v>
      </c>
      <c r="X67" s="13">
        <v>82.19059</v>
      </c>
      <c r="Y67" s="13">
        <v>82.084525999999997</v>
      </c>
      <c r="Z67" s="13">
        <v>81.982596999999998</v>
      </c>
      <c r="AA67" s="13">
        <v>81.856598000000005</v>
      </c>
      <c r="AB67" s="13">
        <v>81.692725999999993</v>
      </c>
      <c r="AC67" s="13">
        <v>81.342606000000004</v>
      </c>
      <c r="AD67" s="13">
        <v>81.189598000000004</v>
      </c>
      <c r="AE67" s="13">
        <v>80.937163999999996</v>
      </c>
      <c r="AF67" s="13">
        <v>80.737823000000006</v>
      </c>
      <c r="AG67" s="13">
        <v>80.524315000000001</v>
      </c>
      <c r="AH67" s="13">
        <v>80.390067999999999</v>
      </c>
      <c r="AI67" s="13">
        <v>80.041054000000003</v>
      </c>
      <c r="AJ67" s="13">
        <v>79.962783999999999</v>
      </c>
      <c r="AK67" s="19"/>
    </row>
    <row r="68" spans="1:37" s="9" customFormat="1" ht="15" customHeight="1">
      <c r="A68" s="12" t="s">
        <v>42</v>
      </c>
      <c r="B68" s="68" t="str">
        <f>About!C98</f>
        <v>Heavy or Residual Oil</v>
      </c>
      <c r="C68" s="13">
        <v>35.022635999999999</v>
      </c>
      <c r="D68" s="13">
        <v>42.339241000000001</v>
      </c>
      <c r="E68" s="13">
        <v>41.859310000000001</v>
      </c>
      <c r="F68" s="13">
        <v>41.917006999999998</v>
      </c>
      <c r="G68" s="13">
        <v>41.568863</v>
      </c>
      <c r="H68" s="13">
        <v>41.580620000000003</v>
      </c>
      <c r="I68" s="13">
        <v>41.301422000000002</v>
      </c>
      <c r="J68" s="13">
        <v>41.122280000000003</v>
      </c>
      <c r="K68" s="13">
        <v>40.940677999999998</v>
      </c>
      <c r="L68" s="13">
        <v>41.166728999999997</v>
      </c>
      <c r="M68" s="13">
        <v>41.026809999999998</v>
      </c>
      <c r="N68" s="13">
        <v>40.803947000000001</v>
      </c>
      <c r="O68" s="13">
        <v>40.695549</v>
      </c>
      <c r="P68" s="13">
        <v>40.706122999999998</v>
      </c>
      <c r="Q68" s="13">
        <v>40.802166</v>
      </c>
      <c r="R68" s="13">
        <v>40.713203</v>
      </c>
      <c r="S68" s="13">
        <v>40.725226999999997</v>
      </c>
      <c r="T68" s="13">
        <v>40.691226999999998</v>
      </c>
      <c r="U68" s="13">
        <v>40.712997000000001</v>
      </c>
      <c r="V68" s="13">
        <v>40.764980000000001</v>
      </c>
      <c r="W68" s="13">
        <v>40.774737999999999</v>
      </c>
      <c r="X68" s="13">
        <v>40.857284999999997</v>
      </c>
      <c r="Y68" s="13">
        <v>40.887276</v>
      </c>
      <c r="Z68" s="13">
        <v>40.908852000000003</v>
      </c>
      <c r="AA68" s="13">
        <v>40.896683000000003</v>
      </c>
      <c r="AB68" s="13">
        <v>40.842022</v>
      </c>
      <c r="AC68" s="13">
        <v>40.707568999999999</v>
      </c>
      <c r="AD68" s="13">
        <v>40.674858</v>
      </c>
      <c r="AE68" s="13">
        <v>40.620826999999998</v>
      </c>
      <c r="AF68" s="13">
        <v>40.542090999999999</v>
      </c>
      <c r="AG68" s="13">
        <v>40.479084</v>
      </c>
      <c r="AH68" s="13">
        <v>40.458911999999998</v>
      </c>
      <c r="AI68" s="13">
        <v>40.359611999999998</v>
      </c>
      <c r="AJ68" s="13">
        <v>40.363762000000001</v>
      </c>
      <c r="AK68" s="19"/>
    </row>
    <row r="69" spans="1:37" s="9" customFormat="1" ht="15" customHeight="1">
      <c r="A69" s="12" t="s">
        <v>88</v>
      </c>
      <c r="B69" s="68"/>
      <c r="C69" s="13">
        <v>369.192047</v>
      </c>
      <c r="D69" s="13">
        <v>399.86193800000001</v>
      </c>
      <c r="E69" s="13">
        <v>424.66751099999999</v>
      </c>
      <c r="F69" s="13">
        <v>432.55499300000002</v>
      </c>
      <c r="G69" s="13">
        <v>436.58660900000001</v>
      </c>
      <c r="H69" s="13">
        <v>440.19500699999998</v>
      </c>
      <c r="I69" s="13">
        <v>440.66668700000002</v>
      </c>
      <c r="J69" s="13">
        <v>442.144318</v>
      </c>
      <c r="K69" s="13">
        <v>443.62643400000002</v>
      </c>
      <c r="L69" s="13">
        <v>447.10934400000002</v>
      </c>
      <c r="M69" s="13">
        <v>446.50836199999998</v>
      </c>
      <c r="N69" s="13">
        <v>444.89965799999999</v>
      </c>
      <c r="O69" s="13">
        <v>444.58312999999998</v>
      </c>
      <c r="P69" s="13">
        <v>443.23556500000001</v>
      </c>
      <c r="Q69" s="13">
        <v>442.80624399999999</v>
      </c>
      <c r="R69" s="13">
        <v>440.80886800000002</v>
      </c>
      <c r="S69" s="13">
        <v>439.82128899999998</v>
      </c>
      <c r="T69" s="13">
        <v>438.59136999999998</v>
      </c>
      <c r="U69" s="13">
        <v>438.15875199999999</v>
      </c>
      <c r="V69" s="13">
        <v>438.34347500000001</v>
      </c>
      <c r="W69" s="13">
        <v>438.10501099999999</v>
      </c>
      <c r="X69" s="13">
        <v>438.765198</v>
      </c>
      <c r="Y69" s="13">
        <v>439.05590799999999</v>
      </c>
      <c r="Z69" s="13">
        <v>439.05624399999999</v>
      </c>
      <c r="AA69" s="13">
        <v>439.13812300000001</v>
      </c>
      <c r="AB69" s="13">
        <v>438.69097900000003</v>
      </c>
      <c r="AC69" s="13">
        <v>437.42108200000001</v>
      </c>
      <c r="AD69" s="13">
        <v>437.33532700000001</v>
      </c>
      <c r="AE69" s="13">
        <v>437.097015</v>
      </c>
      <c r="AF69" s="13">
        <v>436.54199199999999</v>
      </c>
      <c r="AG69" s="13">
        <v>436.10732999999999</v>
      </c>
      <c r="AH69" s="13">
        <v>436.233948</v>
      </c>
      <c r="AI69" s="13">
        <v>435.42413299999998</v>
      </c>
      <c r="AJ69" s="13">
        <v>435.81286599999999</v>
      </c>
      <c r="AK69" s="19"/>
    </row>
    <row r="70" spans="1:37" s="9" customFormat="1" ht="15" customHeight="1">
      <c r="A70" s="12" t="s">
        <v>43</v>
      </c>
      <c r="B70" s="68"/>
      <c r="C70" s="13">
        <v>369.85443099999998</v>
      </c>
      <c r="D70" s="13">
        <v>398.34622200000001</v>
      </c>
      <c r="E70" s="13">
        <v>423.06655899999998</v>
      </c>
      <c r="F70" s="13">
        <v>430.73773199999999</v>
      </c>
      <c r="G70" s="13">
        <v>435.93042000000003</v>
      </c>
      <c r="H70" s="13">
        <v>438.84121699999997</v>
      </c>
      <c r="I70" s="13">
        <v>439.87390099999999</v>
      </c>
      <c r="J70" s="13">
        <v>441.096924</v>
      </c>
      <c r="K70" s="13">
        <v>442.68753099999998</v>
      </c>
      <c r="L70" s="13">
        <v>445.28112800000002</v>
      </c>
      <c r="M70" s="13">
        <v>445.36819500000001</v>
      </c>
      <c r="N70" s="13">
        <v>445.085083</v>
      </c>
      <c r="O70" s="13">
        <v>444.34216300000003</v>
      </c>
      <c r="P70" s="13">
        <v>443.403076</v>
      </c>
      <c r="Q70" s="13">
        <v>443.350098</v>
      </c>
      <c r="R70" s="13">
        <v>442.33215300000001</v>
      </c>
      <c r="S70" s="13">
        <v>441.68179300000003</v>
      </c>
      <c r="T70" s="13">
        <v>441.39544699999999</v>
      </c>
      <c r="U70" s="13">
        <v>441.09643599999998</v>
      </c>
      <c r="V70" s="13">
        <v>441.29562399999998</v>
      </c>
      <c r="W70" s="13">
        <v>441.44961499999999</v>
      </c>
      <c r="X70" s="13">
        <v>442.12933299999997</v>
      </c>
      <c r="Y70" s="13">
        <v>442.636932</v>
      </c>
      <c r="Z70" s="13">
        <v>443.20846599999999</v>
      </c>
      <c r="AA70" s="13">
        <v>443.71594199999998</v>
      </c>
      <c r="AB70" s="13">
        <v>444.00817899999998</v>
      </c>
      <c r="AC70" s="13">
        <v>443.82012900000001</v>
      </c>
      <c r="AD70" s="13">
        <v>444.24438500000002</v>
      </c>
      <c r="AE70" s="13">
        <v>444.36038200000002</v>
      </c>
      <c r="AF70" s="13">
        <v>444.79083300000002</v>
      </c>
      <c r="AG70" s="13">
        <v>445.15600599999999</v>
      </c>
      <c r="AH70" s="13">
        <v>445.65289300000001</v>
      </c>
      <c r="AI70" s="13">
        <v>445.56201199999998</v>
      </c>
      <c r="AJ70" s="13">
        <v>446.37609900000001</v>
      </c>
      <c r="AK70" s="19"/>
    </row>
    <row r="71" spans="1:37" s="9" customFormat="1" ht="15" customHeight="1">
      <c r="A71" s="12" t="s">
        <v>105</v>
      </c>
      <c r="B71" s="68"/>
      <c r="C71" s="13">
        <v>1627.4532469999999</v>
      </c>
      <c r="D71" s="13">
        <v>1807.0036620000001</v>
      </c>
      <c r="E71" s="13">
        <v>1939.764038</v>
      </c>
      <c r="F71" s="13">
        <v>2025.343384</v>
      </c>
      <c r="G71" s="13">
        <v>2070.8859859999998</v>
      </c>
      <c r="H71" s="13">
        <v>2108.9038089999999</v>
      </c>
      <c r="I71" s="13">
        <v>2138.9731449999999</v>
      </c>
      <c r="J71" s="13">
        <v>2171.8625489999999</v>
      </c>
      <c r="K71" s="13">
        <v>2202.2778320000002</v>
      </c>
      <c r="L71" s="13">
        <v>2256.0815429999998</v>
      </c>
      <c r="M71" s="13">
        <v>2275.3491210000002</v>
      </c>
      <c r="N71" s="13">
        <v>2291.0998540000001</v>
      </c>
      <c r="O71" s="13">
        <v>2297.4602049999999</v>
      </c>
      <c r="P71" s="13">
        <v>2302.0871579999998</v>
      </c>
      <c r="Q71" s="13">
        <v>2319.1972660000001</v>
      </c>
      <c r="R71" s="13">
        <v>2334.9399410000001</v>
      </c>
      <c r="S71" s="13">
        <v>2340.8569339999999</v>
      </c>
      <c r="T71" s="13">
        <v>2356.2148440000001</v>
      </c>
      <c r="U71" s="13">
        <v>2366.6057129999999</v>
      </c>
      <c r="V71" s="13">
        <v>2387.185547</v>
      </c>
      <c r="W71" s="13">
        <v>2399.076904</v>
      </c>
      <c r="X71" s="13">
        <v>2419.9704590000001</v>
      </c>
      <c r="Y71" s="13">
        <v>2434.2619629999999</v>
      </c>
      <c r="Z71" s="13">
        <v>2456.3239749999998</v>
      </c>
      <c r="AA71" s="13">
        <v>2452.2963869999999</v>
      </c>
      <c r="AB71" s="13">
        <v>2454.414307</v>
      </c>
      <c r="AC71" s="13">
        <v>2445.9584960000002</v>
      </c>
      <c r="AD71" s="13">
        <v>2447.3666990000002</v>
      </c>
      <c r="AE71" s="13">
        <v>2441.6447750000002</v>
      </c>
      <c r="AF71" s="13">
        <v>2438.391357</v>
      </c>
      <c r="AG71" s="13">
        <v>2429.4794919999999</v>
      </c>
      <c r="AH71" s="13">
        <v>2430.6076659999999</v>
      </c>
      <c r="AI71" s="13">
        <v>2420.4106449999999</v>
      </c>
      <c r="AJ71" s="13">
        <v>2421.1447750000002</v>
      </c>
      <c r="AK71" s="19"/>
    </row>
    <row r="72" spans="1:37" s="9" customFormat="1" ht="15" customHeight="1">
      <c r="A72" s="12" t="s">
        <v>44</v>
      </c>
      <c r="B72" s="68"/>
      <c r="C72" s="13">
        <v>95.212340999999995</v>
      </c>
      <c r="D72" s="13">
        <v>88.127350000000007</v>
      </c>
      <c r="E72" s="13">
        <v>88.576553000000004</v>
      </c>
      <c r="F72" s="13">
        <v>91.994438000000002</v>
      </c>
      <c r="G72" s="13">
        <v>94.937584000000001</v>
      </c>
      <c r="H72" s="13">
        <v>97.242812999999998</v>
      </c>
      <c r="I72" s="13">
        <v>99.381134000000003</v>
      </c>
      <c r="J72" s="13">
        <v>101.15448000000001</v>
      </c>
      <c r="K72" s="13">
        <v>102.915222</v>
      </c>
      <c r="L72" s="13">
        <v>104.189178</v>
      </c>
      <c r="M72" s="13">
        <v>105.156464</v>
      </c>
      <c r="N72" s="13">
        <v>106.383987</v>
      </c>
      <c r="O72" s="13">
        <v>107.856964</v>
      </c>
      <c r="P72" s="13">
        <v>108.554565</v>
      </c>
      <c r="Q72" s="13">
        <v>109.31632999999999</v>
      </c>
      <c r="R72" s="13">
        <v>109.691681</v>
      </c>
      <c r="S72" s="13">
        <v>110.46727</v>
      </c>
      <c r="T72" s="13">
        <v>111.32418800000001</v>
      </c>
      <c r="U72" s="13">
        <v>112.70906100000001</v>
      </c>
      <c r="V72" s="13">
        <v>114.044006</v>
      </c>
      <c r="W72" s="13">
        <v>115.212891</v>
      </c>
      <c r="X72" s="13">
        <v>116.422935</v>
      </c>
      <c r="Y72" s="13">
        <v>117.53482099999999</v>
      </c>
      <c r="Z72" s="13">
        <v>118.60134100000001</v>
      </c>
      <c r="AA72" s="13">
        <v>119.752274</v>
      </c>
      <c r="AB72" s="13">
        <v>120.699753</v>
      </c>
      <c r="AC72" s="13">
        <v>121.77310900000001</v>
      </c>
      <c r="AD72" s="13">
        <v>122.905029</v>
      </c>
      <c r="AE72" s="13">
        <v>124.31398799999999</v>
      </c>
      <c r="AF72" s="13">
        <v>125.384682</v>
      </c>
      <c r="AG72" s="13">
        <v>126.587036</v>
      </c>
      <c r="AH72" s="13">
        <v>127.994614</v>
      </c>
      <c r="AI72" s="13">
        <v>129.40510599999999</v>
      </c>
      <c r="AJ72" s="13">
        <v>130.83819600000001</v>
      </c>
      <c r="AK72" s="19"/>
    </row>
    <row r="73" spans="1:37" s="9" customFormat="1" ht="15" customHeight="1">
      <c r="A73" s="12" t="s">
        <v>45</v>
      </c>
      <c r="B73" s="68"/>
      <c r="C73" s="13">
        <v>6.2435619999999998</v>
      </c>
      <c r="D73" s="13">
        <v>6.8310050000000002</v>
      </c>
      <c r="E73" s="13">
        <v>7.9456009999999999</v>
      </c>
      <c r="F73" s="13">
        <v>8.4240150000000007</v>
      </c>
      <c r="G73" s="13">
        <v>8.8126189999999998</v>
      </c>
      <c r="H73" s="13">
        <v>9.0376279999999998</v>
      </c>
      <c r="I73" s="13">
        <v>9.1761890000000008</v>
      </c>
      <c r="J73" s="13">
        <v>9.3484730000000003</v>
      </c>
      <c r="K73" s="13">
        <v>9.5469059999999999</v>
      </c>
      <c r="L73" s="13">
        <v>9.7772679999999994</v>
      </c>
      <c r="M73" s="13">
        <v>9.8857769999999991</v>
      </c>
      <c r="N73" s="13">
        <v>9.9583720000000007</v>
      </c>
      <c r="O73" s="13">
        <v>10.019743</v>
      </c>
      <c r="P73" s="13">
        <v>10.034081</v>
      </c>
      <c r="Q73" s="13">
        <v>10.094383000000001</v>
      </c>
      <c r="R73" s="13">
        <v>10.107175</v>
      </c>
      <c r="S73" s="13">
        <v>10.119602</v>
      </c>
      <c r="T73" s="13">
        <v>10.135183</v>
      </c>
      <c r="U73" s="13">
        <v>10.125232</v>
      </c>
      <c r="V73" s="13">
        <v>10.134015</v>
      </c>
      <c r="W73" s="13">
        <v>10.134512000000001</v>
      </c>
      <c r="X73" s="13">
        <v>10.159865999999999</v>
      </c>
      <c r="Y73" s="13">
        <v>10.170152</v>
      </c>
      <c r="Z73" s="13">
        <v>10.177268</v>
      </c>
      <c r="AA73" s="13">
        <v>10.173673000000001</v>
      </c>
      <c r="AB73" s="13">
        <v>10.158431999999999</v>
      </c>
      <c r="AC73" s="13">
        <v>10.104977999999999</v>
      </c>
      <c r="AD73" s="13">
        <v>10.084434999999999</v>
      </c>
      <c r="AE73" s="13">
        <v>10.039673000000001</v>
      </c>
      <c r="AF73" s="13">
        <v>10.013901000000001</v>
      </c>
      <c r="AG73" s="13">
        <v>9.9802060000000008</v>
      </c>
      <c r="AH73" s="13">
        <v>9.9484060000000003</v>
      </c>
      <c r="AI73" s="13">
        <v>9.8857909999999993</v>
      </c>
      <c r="AJ73" s="13">
        <v>9.8630890000000004</v>
      </c>
      <c r="AK73" s="19"/>
    </row>
    <row r="74" spans="1:37" s="9" customFormat="1" ht="15" customHeight="1">
      <c r="A74" s="12" t="s">
        <v>46</v>
      </c>
      <c r="B74" s="68"/>
      <c r="C74" s="13">
        <v>382.01821899999999</v>
      </c>
      <c r="D74" s="13">
        <v>390.10827599999999</v>
      </c>
      <c r="E74" s="13">
        <v>421.40802000000002</v>
      </c>
      <c r="F74" s="13">
        <v>437.11679099999998</v>
      </c>
      <c r="G74" s="13">
        <v>449.12988300000001</v>
      </c>
      <c r="H74" s="13">
        <v>457.586792</v>
      </c>
      <c r="I74" s="13">
        <v>463.004211</v>
      </c>
      <c r="J74" s="13">
        <v>469.15533399999998</v>
      </c>
      <c r="K74" s="13">
        <v>475.57815599999998</v>
      </c>
      <c r="L74" s="13">
        <v>481.50848400000001</v>
      </c>
      <c r="M74" s="13">
        <v>482.93429600000002</v>
      </c>
      <c r="N74" s="13">
        <v>483.50741599999998</v>
      </c>
      <c r="O74" s="13">
        <v>484.86044299999998</v>
      </c>
      <c r="P74" s="13">
        <v>482.86163299999998</v>
      </c>
      <c r="Q74" s="13">
        <v>482.129639</v>
      </c>
      <c r="R74" s="13">
        <v>479.66189600000001</v>
      </c>
      <c r="S74" s="13">
        <v>478.27410900000001</v>
      </c>
      <c r="T74" s="13">
        <v>476.85214200000001</v>
      </c>
      <c r="U74" s="13">
        <v>476.09243800000002</v>
      </c>
      <c r="V74" s="13">
        <v>476.04818699999998</v>
      </c>
      <c r="W74" s="13">
        <v>475.87023900000003</v>
      </c>
      <c r="X74" s="13">
        <v>476.50341800000001</v>
      </c>
      <c r="Y74" s="13">
        <v>476.78005999999999</v>
      </c>
      <c r="Z74" s="13">
        <v>476.524902</v>
      </c>
      <c r="AA74" s="13">
        <v>476.19094799999999</v>
      </c>
      <c r="AB74" s="13">
        <v>475.42544600000002</v>
      </c>
      <c r="AC74" s="13">
        <v>473.92254600000001</v>
      </c>
      <c r="AD74" s="13">
        <v>473.54608200000001</v>
      </c>
      <c r="AE74" s="13">
        <v>473.002228</v>
      </c>
      <c r="AF74" s="13">
        <v>472.46096799999998</v>
      </c>
      <c r="AG74" s="13">
        <v>471.99969499999997</v>
      </c>
      <c r="AH74" s="13">
        <v>471.96603399999998</v>
      </c>
      <c r="AI74" s="13">
        <v>471.15313700000002</v>
      </c>
      <c r="AJ74" s="13">
        <v>471.513733</v>
      </c>
      <c r="AK74" s="19"/>
    </row>
    <row r="75" spans="1:37" s="9" customFormat="1" ht="15" customHeight="1">
      <c r="A75" s="12" t="s">
        <v>47</v>
      </c>
      <c r="B75" s="68"/>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9"/>
    </row>
    <row r="76" spans="1:37" s="9" customFormat="1" ht="15" customHeight="1">
      <c r="A76" s="14" t="s">
        <v>48</v>
      </c>
      <c r="B76" s="89"/>
      <c r="C76" s="15">
        <v>2849.9741210000002</v>
      </c>
      <c r="D76" s="15">
        <v>3090.2788089999999</v>
      </c>
      <c r="E76" s="15">
        <v>3305.4282229999999</v>
      </c>
      <c r="F76" s="15">
        <v>3426.1713869999999</v>
      </c>
      <c r="G76" s="15">
        <v>3496.2829590000001</v>
      </c>
      <c r="H76" s="15">
        <v>3551.8071289999998</v>
      </c>
      <c r="I76" s="15">
        <v>3591.0751949999999</v>
      </c>
      <c r="J76" s="15">
        <v>3634.7619629999999</v>
      </c>
      <c r="K76" s="15">
        <v>3676.6320799999999</v>
      </c>
      <c r="L76" s="15">
        <v>3743.9472660000001</v>
      </c>
      <c r="M76" s="15">
        <v>3765.2021479999999</v>
      </c>
      <c r="N76" s="15">
        <v>3780.9340820000002</v>
      </c>
      <c r="O76" s="15">
        <v>3789.1225589999999</v>
      </c>
      <c r="P76" s="15">
        <v>3790.1760250000002</v>
      </c>
      <c r="Q76" s="15">
        <v>3806.8940429999998</v>
      </c>
      <c r="R76" s="15">
        <v>3817.5417480000001</v>
      </c>
      <c r="S76" s="15">
        <v>3821.2209469999998</v>
      </c>
      <c r="T76" s="15">
        <v>3834.5131839999999</v>
      </c>
      <c r="U76" s="15">
        <v>3844.7875979999999</v>
      </c>
      <c r="V76" s="15">
        <v>3867.0507809999999</v>
      </c>
      <c r="W76" s="15">
        <v>3879.8491210000002</v>
      </c>
      <c r="X76" s="15">
        <v>3903.951172</v>
      </c>
      <c r="Y76" s="15">
        <v>3920.4399410000001</v>
      </c>
      <c r="Z76" s="15">
        <v>3943.8920899999998</v>
      </c>
      <c r="AA76" s="15">
        <v>3941.2670899999998</v>
      </c>
      <c r="AB76" s="15">
        <v>3943.3972170000002</v>
      </c>
      <c r="AC76" s="15">
        <v>3933.0004880000001</v>
      </c>
      <c r="AD76" s="15">
        <v>3935.4819339999999</v>
      </c>
      <c r="AE76" s="15">
        <v>3930.4577640000002</v>
      </c>
      <c r="AF76" s="15">
        <v>3927.58374</v>
      </c>
      <c r="AG76" s="15">
        <v>3919.3095699999999</v>
      </c>
      <c r="AH76" s="15">
        <v>3922.4038089999999</v>
      </c>
      <c r="AI76" s="15">
        <v>3911.8405760000001</v>
      </c>
      <c r="AJ76" s="15">
        <v>3915.5485840000001</v>
      </c>
      <c r="AK76" s="20"/>
    </row>
    <row r="77" spans="1:37" s="8" customFormat="1">
      <c r="A77" s="2" t="s">
        <v>94</v>
      </c>
      <c r="B77" s="2"/>
    </row>
    <row r="78" spans="1:37">
      <c r="A78" s="10" t="s">
        <v>90</v>
      </c>
      <c r="B78" s="10"/>
      <c r="C78" s="7">
        <v>323128000</v>
      </c>
      <c r="D78" s="7">
        <v>325511000</v>
      </c>
      <c r="E78" s="7">
        <v>327892000</v>
      </c>
      <c r="F78" s="7">
        <v>330269000</v>
      </c>
      <c r="G78" s="7">
        <v>332639000</v>
      </c>
      <c r="H78" s="7">
        <v>334998000</v>
      </c>
      <c r="I78" s="7">
        <v>337342000</v>
      </c>
      <c r="J78" s="7">
        <v>339665000</v>
      </c>
      <c r="K78" s="7">
        <v>341963000</v>
      </c>
      <c r="L78" s="7">
        <v>344234000</v>
      </c>
      <c r="M78" s="7">
        <v>346481000</v>
      </c>
      <c r="N78" s="7">
        <v>348695000</v>
      </c>
      <c r="O78" s="7">
        <v>350872000</v>
      </c>
      <c r="P78" s="7">
        <v>353008000</v>
      </c>
      <c r="Q78" s="7">
        <v>355101000</v>
      </c>
      <c r="R78" s="7">
        <v>357147000</v>
      </c>
      <c r="S78" s="7">
        <v>359147000</v>
      </c>
      <c r="T78" s="7">
        <v>361099000</v>
      </c>
      <c r="U78" s="7">
        <v>363003000</v>
      </c>
      <c r="V78" s="7">
        <v>364862000</v>
      </c>
      <c r="W78" s="7">
        <v>366676000</v>
      </c>
      <c r="X78" s="7">
        <v>368448000</v>
      </c>
      <c r="Y78" s="7">
        <v>370179000</v>
      </c>
      <c r="Z78" s="7">
        <v>371871000</v>
      </c>
      <c r="AA78" s="7">
        <v>373528000</v>
      </c>
      <c r="AB78" s="7">
        <v>375152000</v>
      </c>
      <c r="AC78" s="7">
        <v>376746000</v>
      </c>
      <c r="AD78" s="7">
        <v>378314000</v>
      </c>
      <c r="AE78" s="7">
        <v>379861000</v>
      </c>
      <c r="AF78" s="7">
        <v>381390000</v>
      </c>
      <c r="AG78" s="7">
        <v>382907000</v>
      </c>
      <c r="AH78" s="7">
        <v>384415000</v>
      </c>
      <c r="AI78" s="7">
        <v>385918000</v>
      </c>
      <c r="AJ78" s="7">
        <v>387419000</v>
      </c>
    </row>
    <row r="79" spans="1:37" s="5" customFormat="1">
      <c r="A79" s="10" t="s">
        <v>92</v>
      </c>
      <c r="B79" s="10"/>
      <c r="C79" s="7">
        <v>309326295</v>
      </c>
      <c r="D79" s="6"/>
      <c r="E79" s="6"/>
      <c r="F79" s="6"/>
      <c r="G79" s="6"/>
      <c r="H79" s="6"/>
      <c r="I79" s="6"/>
      <c r="J79" s="6"/>
      <c r="K79" s="6"/>
      <c r="L79" s="6"/>
      <c r="M79" s="6"/>
      <c r="N79" s="6"/>
      <c r="O79" s="6"/>
      <c r="P79" s="6"/>
      <c r="Q79" s="6"/>
      <c r="R79" s="6"/>
      <c r="S79" s="6"/>
      <c r="T79" s="6"/>
      <c r="U79" s="6"/>
      <c r="V79" s="6"/>
      <c r="W79" s="6"/>
      <c r="X79" s="6"/>
      <c r="Y79" s="6"/>
      <c r="Z79" s="6"/>
      <c r="AA79" s="6"/>
    </row>
    <row r="80" spans="1:37">
      <c r="A80" s="10" t="s">
        <v>91</v>
      </c>
      <c r="B80" s="10"/>
      <c r="C80" s="6">
        <v>210</v>
      </c>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37">
      <c r="A81" s="10" t="s">
        <v>93</v>
      </c>
      <c r="B81" s="10"/>
      <c r="C81" s="11">
        <f t="shared" ref="C81:AJ81" si="0">$C80*(C78/$C79)</f>
        <v>219.36990516761594</v>
      </c>
      <c r="D81" s="11">
        <f t="shared" si="0"/>
        <v>220.98771137448887</v>
      </c>
      <c r="E81" s="11">
        <f t="shared" si="0"/>
        <v>222.604159791847</v>
      </c>
      <c r="F81" s="11">
        <f t="shared" si="0"/>
        <v>224.21789263017553</v>
      </c>
      <c r="G81" s="11">
        <f t="shared" si="0"/>
        <v>225.8268732052023</v>
      </c>
      <c r="H81" s="11">
        <f t="shared" si="0"/>
        <v>227.4283859378977</v>
      </c>
      <c r="I81" s="11">
        <f t="shared" si="0"/>
        <v>229.01971524923221</v>
      </c>
      <c r="J81" s="11">
        <f t="shared" si="0"/>
        <v>230.59678777066139</v>
      </c>
      <c r="K81" s="11">
        <f t="shared" si="0"/>
        <v>232.15688792315569</v>
      </c>
      <c r="L81" s="11">
        <f t="shared" si="0"/>
        <v>233.69865791720036</v>
      </c>
      <c r="M81" s="11">
        <f t="shared" si="0"/>
        <v>235.22413443706751</v>
      </c>
      <c r="N81" s="11">
        <f t="shared" si="0"/>
        <v>236.72720742994062</v>
      </c>
      <c r="O81" s="11">
        <f t="shared" si="0"/>
        <v>238.20516131679011</v>
      </c>
      <c r="P81" s="11">
        <f t="shared" si="0"/>
        <v>239.65528051858635</v>
      </c>
      <c r="Q81" s="11">
        <f t="shared" si="0"/>
        <v>241.07620724581463</v>
      </c>
      <c r="R81" s="11">
        <f t="shared" si="0"/>
        <v>242.46522591944534</v>
      </c>
      <c r="S81" s="11">
        <f t="shared" si="0"/>
        <v>243.82301543423588</v>
      </c>
      <c r="T81" s="11">
        <f t="shared" si="0"/>
        <v>245.14821800067142</v>
      </c>
      <c r="U81" s="11">
        <f t="shared" si="0"/>
        <v>246.44083361875201</v>
      </c>
      <c r="V81" s="11">
        <f t="shared" si="0"/>
        <v>247.70289897274981</v>
      </c>
      <c r="W81" s="11">
        <f t="shared" si="0"/>
        <v>248.93441406266481</v>
      </c>
      <c r="X81" s="11">
        <f t="shared" si="0"/>
        <v>250.13741557276919</v>
      </c>
      <c r="Y81" s="11">
        <f t="shared" si="0"/>
        <v>251.31258239782036</v>
      </c>
      <c r="Z81" s="11">
        <f t="shared" si="0"/>
        <v>252.46127232733318</v>
      </c>
      <c r="AA81" s="11">
        <f t="shared" si="0"/>
        <v>253.58620094033714</v>
      </c>
      <c r="AB81" s="11">
        <f t="shared" si="0"/>
        <v>254.68872602634704</v>
      </c>
      <c r="AC81" s="11">
        <f t="shared" si="0"/>
        <v>255.7708842696351</v>
      </c>
      <c r="AD81" s="11">
        <f t="shared" si="0"/>
        <v>256.83539124923084</v>
      </c>
      <c r="AE81" s="11">
        <f t="shared" si="0"/>
        <v>257.88564143892131</v>
      </c>
      <c r="AF81" s="11">
        <f t="shared" si="0"/>
        <v>258.92367152297868</v>
      </c>
      <c r="AG81" s="11">
        <f t="shared" si="0"/>
        <v>259.95355486994731</v>
      </c>
      <c r="AH81" s="11">
        <f t="shared" si="0"/>
        <v>260.97732816409933</v>
      </c>
      <c r="AI81" s="11">
        <f t="shared" si="0"/>
        <v>261.9977069844644</v>
      </c>
      <c r="AJ81" s="11">
        <f t="shared" si="0"/>
        <v>263.0167280153147</v>
      </c>
    </row>
    <row r="82" spans="1:37" s="8" customFormat="1">
      <c r="A82" s="2" t="s">
        <v>95</v>
      </c>
      <c r="B82" s="2"/>
    </row>
    <row r="83" spans="1:37" s="9" customFormat="1" ht="15" customHeight="1">
      <c r="A83" s="12" t="s">
        <v>39</v>
      </c>
      <c r="B83" s="68" t="str">
        <f>About!C94</f>
        <v>Heavy or Residual Oil</v>
      </c>
      <c r="C83" s="13">
        <v>9.6672999999999995E-2</v>
      </c>
      <c r="D83" s="13">
        <v>8.4992999999999999E-2</v>
      </c>
      <c r="E83" s="13">
        <v>7.7148999999999995E-2</v>
      </c>
      <c r="F83" s="13">
        <v>7.7271999999999993E-2</v>
      </c>
      <c r="G83" s="13">
        <v>7.7243000000000006E-2</v>
      </c>
      <c r="H83" s="13">
        <v>7.6025999999999996E-2</v>
      </c>
      <c r="I83" s="13">
        <v>7.4742000000000003E-2</v>
      </c>
      <c r="J83" s="13">
        <v>7.3398000000000005E-2</v>
      </c>
      <c r="K83" s="13">
        <v>7.1982000000000004E-2</v>
      </c>
      <c r="L83" s="13">
        <v>6.8927000000000002E-2</v>
      </c>
      <c r="M83" s="13">
        <v>6.5863000000000005E-2</v>
      </c>
      <c r="N83" s="13">
        <v>6.2800999999999996E-2</v>
      </c>
      <c r="O83" s="13">
        <v>5.9603000000000003E-2</v>
      </c>
      <c r="P83" s="13">
        <v>5.5995999999999997E-2</v>
      </c>
      <c r="Q83" s="13">
        <v>5.2399000000000001E-2</v>
      </c>
      <c r="R83" s="13">
        <v>4.8760999999999999E-2</v>
      </c>
      <c r="S83" s="13">
        <v>4.5182E-2</v>
      </c>
      <c r="T83" s="13">
        <v>4.1679000000000001E-2</v>
      </c>
      <c r="U83" s="13">
        <v>3.8183000000000002E-2</v>
      </c>
      <c r="V83" s="13">
        <v>3.5050999999999999E-2</v>
      </c>
      <c r="W83" s="13">
        <v>3.5050999999999999E-2</v>
      </c>
      <c r="X83" s="13">
        <v>3.5050999999999999E-2</v>
      </c>
      <c r="Y83" s="13">
        <v>3.5050999999999999E-2</v>
      </c>
      <c r="Z83" s="13">
        <v>3.5050999999999999E-2</v>
      </c>
      <c r="AA83" s="13">
        <v>3.5050999999999999E-2</v>
      </c>
      <c r="AB83" s="13">
        <v>3.5050999999999999E-2</v>
      </c>
      <c r="AC83" s="13">
        <v>3.5050999999999999E-2</v>
      </c>
      <c r="AD83" s="13">
        <v>3.5050999999999999E-2</v>
      </c>
      <c r="AE83" s="13">
        <v>3.5050999999999999E-2</v>
      </c>
      <c r="AF83" s="13">
        <v>3.5050999999999999E-2</v>
      </c>
      <c r="AG83" s="13">
        <v>3.5050999999999999E-2</v>
      </c>
      <c r="AH83" s="13">
        <v>3.5050999999999999E-2</v>
      </c>
      <c r="AI83" s="13">
        <v>3.5050999999999999E-2</v>
      </c>
      <c r="AJ83" s="13">
        <v>3.5050999999999999E-2</v>
      </c>
    </row>
    <row r="84" spans="1:37" s="9" customFormat="1" ht="15" customHeight="1">
      <c r="A84" s="12" t="s">
        <v>40</v>
      </c>
      <c r="B84" s="68" t="str">
        <f>About!C93</f>
        <v>Petroleum Diesel</v>
      </c>
      <c r="C84" s="13">
        <v>372.29821800000002</v>
      </c>
      <c r="D84" s="13">
        <v>383.44494600000002</v>
      </c>
      <c r="E84" s="13">
        <v>375.26721199999997</v>
      </c>
      <c r="F84" s="13">
        <v>377.93768299999999</v>
      </c>
      <c r="G84" s="13">
        <v>380.561218</v>
      </c>
      <c r="H84" s="13">
        <v>383.91156000000001</v>
      </c>
      <c r="I84" s="13">
        <v>387.02539100000001</v>
      </c>
      <c r="J84" s="13">
        <v>389.19378699999999</v>
      </c>
      <c r="K84" s="13">
        <v>390.87463400000001</v>
      </c>
      <c r="L84" s="13">
        <v>393.11380000000003</v>
      </c>
      <c r="M84" s="13">
        <v>394.55352800000003</v>
      </c>
      <c r="N84" s="13">
        <v>396.32476800000001</v>
      </c>
      <c r="O84" s="13">
        <v>397.57891799999999</v>
      </c>
      <c r="P84" s="13">
        <v>399.123718</v>
      </c>
      <c r="Q84" s="13">
        <v>401.44769300000002</v>
      </c>
      <c r="R84" s="13">
        <v>404.87582400000002</v>
      </c>
      <c r="S84" s="13">
        <v>407.09722900000003</v>
      </c>
      <c r="T84" s="13">
        <v>409.573486</v>
      </c>
      <c r="U84" s="13">
        <v>412.261841</v>
      </c>
      <c r="V84" s="13">
        <v>414.90057400000001</v>
      </c>
      <c r="W84" s="13">
        <v>418.01541099999997</v>
      </c>
      <c r="X84" s="13">
        <v>421.14022799999998</v>
      </c>
      <c r="Y84" s="13">
        <v>424.01135299999999</v>
      </c>
      <c r="Z84" s="13">
        <v>426.714294</v>
      </c>
      <c r="AA84" s="13">
        <v>429.317993</v>
      </c>
      <c r="AB84" s="13">
        <v>432.18182400000001</v>
      </c>
      <c r="AC84" s="13">
        <v>435.19558699999999</v>
      </c>
      <c r="AD84" s="13">
        <v>438.39959700000003</v>
      </c>
      <c r="AE84" s="13">
        <v>441.87194799999997</v>
      </c>
      <c r="AF84" s="13">
        <v>445.48037699999998</v>
      </c>
      <c r="AG84" s="13">
        <v>449.141052</v>
      </c>
      <c r="AH84" s="13">
        <v>452.98461900000001</v>
      </c>
      <c r="AI84" s="13">
        <v>456.77401700000001</v>
      </c>
      <c r="AJ84" s="13">
        <v>460.29534899999999</v>
      </c>
    </row>
    <row r="85" spans="1:37" s="9" customFormat="1" ht="15" customHeight="1">
      <c r="A85" s="12" t="s">
        <v>96</v>
      </c>
      <c r="B85" s="68" t="str">
        <f>About!C90</f>
        <v>LPG/propane/butane</v>
      </c>
      <c r="C85" s="13">
        <v>176.057953</v>
      </c>
      <c r="D85" s="13">
        <v>208.67449999999999</v>
      </c>
      <c r="E85" s="13">
        <v>174.269867</v>
      </c>
      <c r="F85" s="13">
        <v>96.253005999999999</v>
      </c>
      <c r="G85" s="13">
        <v>97.205673000000004</v>
      </c>
      <c r="H85" s="13">
        <v>98.011398</v>
      </c>
      <c r="I85" s="13">
        <v>98.61412</v>
      </c>
      <c r="J85" s="13">
        <v>99.011002000000005</v>
      </c>
      <c r="K85" s="13">
        <v>99.373276000000004</v>
      </c>
      <c r="L85" s="13">
        <v>99.820708999999994</v>
      </c>
      <c r="M85" s="13">
        <v>100.091644</v>
      </c>
      <c r="N85" s="13">
        <v>100.430336</v>
      </c>
      <c r="O85" s="13">
        <v>100.71174600000001</v>
      </c>
      <c r="P85" s="13">
        <v>100.957764</v>
      </c>
      <c r="Q85" s="13">
        <v>101.45161400000001</v>
      </c>
      <c r="R85" s="13">
        <v>102.53529399999999</v>
      </c>
      <c r="S85" s="13">
        <v>102.833359</v>
      </c>
      <c r="T85" s="13">
        <v>103.276527</v>
      </c>
      <c r="U85" s="13">
        <v>103.782516</v>
      </c>
      <c r="V85" s="13">
        <v>104.255402</v>
      </c>
      <c r="W85" s="13">
        <v>105.00346399999999</v>
      </c>
      <c r="X85" s="13">
        <v>105.759308</v>
      </c>
      <c r="Y85" s="13">
        <v>106.43514999999999</v>
      </c>
      <c r="Z85" s="13">
        <v>107.040192</v>
      </c>
      <c r="AA85" s="13">
        <v>107.54388400000001</v>
      </c>
      <c r="AB85" s="13">
        <v>108.111969</v>
      </c>
      <c r="AC85" s="13">
        <v>108.71796399999999</v>
      </c>
      <c r="AD85" s="13">
        <v>109.368301</v>
      </c>
      <c r="AE85" s="13">
        <v>110.082008</v>
      </c>
      <c r="AF85" s="13">
        <v>110.834</v>
      </c>
      <c r="AG85" s="13">
        <v>111.59751900000001</v>
      </c>
      <c r="AH85" s="13">
        <v>112.412437</v>
      </c>
      <c r="AI85" s="13">
        <v>113.22017700000001</v>
      </c>
      <c r="AJ85" s="13">
        <v>113.977699</v>
      </c>
    </row>
    <row r="86" spans="1:37" s="9" customFormat="1" ht="15" customHeight="1">
      <c r="A86" s="12" t="s">
        <v>41</v>
      </c>
      <c r="B86" s="68" t="str">
        <f>About!C92</f>
        <v>Petroleum Diesel</v>
      </c>
      <c r="C86" s="13">
        <v>195.98800700000001</v>
      </c>
      <c r="D86" s="13">
        <v>191.94729599999999</v>
      </c>
      <c r="E86" s="13">
        <v>185.291077</v>
      </c>
      <c r="F86" s="13">
        <v>189.75663800000001</v>
      </c>
      <c r="G86" s="13">
        <v>194.208191</v>
      </c>
      <c r="H86" s="13">
        <v>197.72537199999999</v>
      </c>
      <c r="I86" s="13">
        <v>201.098221</v>
      </c>
      <c r="J86" s="13">
        <v>204.001892</v>
      </c>
      <c r="K86" s="13">
        <v>206.66253699999999</v>
      </c>
      <c r="L86" s="13">
        <v>208.987717</v>
      </c>
      <c r="M86" s="13">
        <v>210.852554</v>
      </c>
      <c r="N86" s="13">
        <v>212.81909200000001</v>
      </c>
      <c r="O86" s="13">
        <v>214.676331</v>
      </c>
      <c r="P86" s="13">
        <v>215.84243799999999</v>
      </c>
      <c r="Q86" s="13">
        <v>217.44223</v>
      </c>
      <c r="R86" s="13">
        <v>219.60612499999999</v>
      </c>
      <c r="S86" s="13">
        <v>221.11308299999999</v>
      </c>
      <c r="T86" s="13">
        <v>222.763611</v>
      </c>
      <c r="U86" s="13">
        <v>224.452789</v>
      </c>
      <c r="V86" s="13">
        <v>226.120544</v>
      </c>
      <c r="W86" s="13">
        <v>228.03185999999999</v>
      </c>
      <c r="X86" s="13">
        <v>229.957855</v>
      </c>
      <c r="Y86" s="13">
        <v>231.69491600000001</v>
      </c>
      <c r="Z86" s="13">
        <v>233.34870900000001</v>
      </c>
      <c r="AA86" s="13">
        <v>234.941025</v>
      </c>
      <c r="AB86" s="13">
        <v>236.67536899999999</v>
      </c>
      <c r="AC86" s="13">
        <v>238.482483</v>
      </c>
      <c r="AD86" s="13">
        <v>240.37674000000001</v>
      </c>
      <c r="AE86" s="13">
        <v>242.41213999999999</v>
      </c>
      <c r="AF86" s="13">
        <v>244.51712000000001</v>
      </c>
      <c r="AG86" s="13">
        <v>246.64044200000001</v>
      </c>
      <c r="AH86" s="13">
        <v>248.86656199999999</v>
      </c>
      <c r="AI86" s="13">
        <v>251.05218500000001</v>
      </c>
      <c r="AJ86" s="13">
        <v>253.07620199999999</v>
      </c>
    </row>
    <row r="87" spans="1:37" s="9" customFormat="1" ht="15" customHeight="1">
      <c r="A87" s="12" t="s">
        <v>42</v>
      </c>
      <c r="B87" s="68" t="str">
        <f>About!C98</f>
        <v>Heavy or Residual Oil</v>
      </c>
      <c r="C87" s="13">
        <v>60.194054000000001</v>
      </c>
      <c r="D87" s="13">
        <v>68.353706000000003</v>
      </c>
      <c r="E87" s="13">
        <v>61.349831000000002</v>
      </c>
      <c r="F87" s="13">
        <v>60.935355999999999</v>
      </c>
      <c r="G87" s="13">
        <v>60.487220999999998</v>
      </c>
      <c r="H87" s="13">
        <v>60.669440999999999</v>
      </c>
      <c r="I87" s="13">
        <v>60.852539</v>
      </c>
      <c r="J87" s="13">
        <v>60.865059000000002</v>
      </c>
      <c r="K87" s="13">
        <v>60.777405000000002</v>
      </c>
      <c r="L87" s="13">
        <v>61.028697999999999</v>
      </c>
      <c r="M87" s="13">
        <v>61.140633000000001</v>
      </c>
      <c r="N87" s="13">
        <v>61.303215000000002</v>
      </c>
      <c r="O87" s="13">
        <v>61.381176000000004</v>
      </c>
      <c r="P87" s="13">
        <v>61.755600000000001</v>
      </c>
      <c r="Q87" s="13">
        <v>62.250095000000002</v>
      </c>
      <c r="R87" s="13">
        <v>62.764327999999999</v>
      </c>
      <c r="S87" s="13">
        <v>63.275803000000003</v>
      </c>
      <c r="T87" s="13">
        <v>63.787078999999999</v>
      </c>
      <c r="U87" s="13">
        <v>64.315253999999996</v>
      </c>
      <c r="V87" s="13">
        <v>64.821540999999996</v>
      </c>
      <c r="W87" s="13">
        <v>65.350166000000002</v>
      </c>
      <c r="X87" s="13">
        <v>65.875670999999997</v>
      </c>
      <c r="Y87" s="13">
        <v>66.365905999999995</v>
      </c>
      <c r="Z87" s="13">
        <v>66.844025000000002</v>
      </c>
      <c r="AA87" s="13">
        <v>67.340118000000004</v>
      </c>
      <c r="AB87" s="13">
        <v>67.87706</v>
      </c>
      <c r="AC87" s="13">
        <v>68.438637</v>
      </c>
      <c r="AD87" s="13">
        <v>69.032203999999993</v>
      </c>
      <c r="AE87" s="13">
        <v>69.669846000000007</v>
      </c>
      <c r="AF87" s="13">
        <v>70.330878999999996</v>
      </c>
      <c r="AG87" s="13">
        <v>71.000564999999995</v>
      </c>
      <c r="AH87" s="13">
        <v>71.701262999999997</v>
      </c>
      <c r="AI87" s="13">
        <v>72.391898999999995</v>
      </c>
      <c r="AJ87" s="13">
        <v>73.035324000000003</v>
      </c>
    </row>
    <row r="88" spans="1:37" s="9" customFormat="1" ht="15" customHeight="1">
      <c r="A88" s="12" t="s">
        <v>88</v>
      </c>
      <c r="B88" s="68"/>
      <c r="C88" s="13">
        <v>804.63494900000001</v>
      </c>
      <c r="D88" s="13">
        <v>852.505493</v>
      </c>
      <c r="E88" s="13">
        <v>796.25518799999998</v>
      </c>
      <c r="F88" s="13">
        <v>724.95996100000002</v>
      </c>
      <c r="G88" s="13">
        <v>732.53961200000003</v>
      </c>
      <c r="H88" s="13">
        <v>740.39379899999994</v>
      </c>
      <c r="I88" s="13">
        <v>747.66503899999998</v>
      </c>
      <c r="J88" s="13">
        <v>753.14514199999996</v>
      </c>
      <c r="K88" s="13">
        <v>757.75982699999997</v>
      </c>
      <c r="L88" s="13">
        <v>763.01983600000005</v>
      </c>
      <c r="M88" s="13">
        <v>766.70422399999995</v>
      </c>
      <c r="N88" s="13">
        <v>770.940247</v>
      </c>
      <c r="O88" s="13">
        <v>774.40777600000001</v>
      </c>
      <c r="P88" s="13">
        <v>777.73553500000003</v>
      </c>
      <c r="Q88" s="13">
        <v>782.64410399999997</v>
      </c>
      <c r="R88" s="13">
        <v>789.83038299999998</v>
      </c>
      <c r="S88" s="13">
        <v>794.36468500000001</v>
      </c>
      <c r="T88" s="13">
        <v>799.44244400000002</v>
      </c>
      <c r="U88" s="13">
        <v>804.85064699999998</v>
      </c>
      <c r="V88" s="13">
        <v>810.13311799999997</v>
      </c>
      <c r="W88" s="13">
        <v>816.43591300000003</v>
      </c>
      <c r="X88" s="13">
        <v>822.76812700000005</v>
      </c>
      <c r="Y88" s="13">
        <v>828.542419</v>
      </c>
      <c r="Z88" s="13">
        <v>833.98230000000001</v>
      </c>
      <c r="AA88" s="13">
        <v>839.17810099999997</v>
      </c>
      <c r="AB88" s="13">
        <v>844.88128700000004</v>
      </c>
      <c r="AC88" s="13">
        <v>850.86975099999995</v>
      </c>
      <c r="AD88" s="13">
        <v>857.21191399999998</v>
      </c>
      <c r="AE88" s="13">
        <v>864.07098399999995</v>
      </c>
      <c r="AF88" s="13">
        <v>871.19744900000001</v>
      </c>
      <c r="AG88" s="13">
        <v>878.41461200000003</v>
      </c>
      <c r="AH88" s="13">
        <v>885.99987799999997</v>
      </c>
      <c r="AI88" s="13">
        <v>893.47332800000004</v>
      </c>
      <c r="AJ88" s="13">
        <v>900.41961700000002</v>
      </c>
    </row>
    <row r="89" spans="1:37" s="9" customFormat="1" ht="15" customHeight="1">
      <c r="A89" s="12" t="s">
        <v>43</v>
      </c>
      <c r="B89" s="68"/>
      <c r="C89" s="13">
        <v>69.368279000000001</v>
      </c>
      <c r="D89" s="13">
        <v>68.730209000000002</v>
      </c>
      <c r="E89" s="13">
        <v>67.718277</v>
      </c>
      <c r="F89" s="13">
        <v>68.715530000000001</v>
      </c>
      <c r="G89" s="13">
        <v>69.726378999999994</v>
      </c>
      <c r="H89" s="13">
        <v>70.543792999999994</v>
      </c>
      <c r="I89" s="13">
        <v>71.229324000000005</v>
      </c>
      <c r="J89" s="13">
        <v>71.772757999999996</v>
      </c>
      <c r="K89" s="13">
        <v>72.264702</v>
      </c>
      <c r="L89" s="13">
        <v>72.713645999999997</v>
      </c>
      <c r="M89" s="13">
        <v>73.036620999999997</v>
      </c>
      <c r="N89" s="13">
        <v>73.397025999999997</v>
      </c>
      <c r="O89" s="13">
        <v>73.677490000000006</v>
      </c>
      <c r="P89" s="13">
        <v>73.845237999999995</v>
      </c>
      <c r="Q89" s="13">
        <v>74.162979000000007</v>
      </c>
      <c r="R89" s="13">
        <v>74.896156000000005</v>
      </c>
      <c r="S89" s="13">
        <v>75.131866000000002</v>
      </c>
      <c r="T89" s="13">
        <v>75.455582000000007</v>
      </c>
      <c r="U89" s="13">
        <v>75.803673000000003</v>
      </c>
      <c r="V89" s="13">
        <v>76.149840999999995</v>
      </c>
      <c r="W89" s="13">
        <v>76.675644000000005</v>
      </c>
      <c r="X89" s="13">
        <v>77.203445000000002</v>
      </c>
      <c r="Y89" s="13">
        <v>77.662757999999997</v>
      </c>
      <c r="Z89" s="13">
        <v>78.083939000000001</v>
      </c>
      <c r="AA89" s="13">
        <v>78.443459000000004</v>
      </c>
      <c r="AB89" s="13">
        <v>78.853606999999997</v>
      </c>
      <c r="AC89" s="13">
        <v>79.295212000000006</v>
      </c>
      <c r="AD89" s="13">
        <v>79.770499999999998</v>
      </c>
      <c r="AE89" s="13">
        <v>80.297318000000004</v>
      </c>
      <c r="AF89" s="13">
        <v>80.856262000000001</v>
      </c>
      <c r="AG89" s="13">
        <v>81.432120999999995</v>
      </c>
      <c r="AH89" s="13">
        <v>82.053825000000003</v>
      </c>
      <c r="AI89" s="13">
        <v>82.680274999999995</v>
      </c>
      <c r="AJ89" s="13">
        <v>83.280586</v>
      </c>
    </row>
    <row r="90" spans="1:37" s="9" customFormat="1" ht="15" customHeight="1">
      <c r="A90" s="12" t="s">
        <v>44</v>
      </c>
      <c r="B90" s="68"/>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row>
    <row r="91" spans="1:37" s="9" customFormat="1" ht="15" customHeight="1">
      <c r="A91" s="12" t="s">
        <v>45</v>
      </c>
      <c r="B91" s="68"/>
      <c r="C91" s="13">
        <v>126.404022</v>
      </c>
      <c r="D91" s="13">
        <v>127.88163</v>
      </c>
      <c r="E91" s="13">
        <v>125.536278</v>
      </c>
      <c r="F91" s="13">
        <v>128.15245100000001</v>
      </c>
      <c r="G91" s="13">
        <v>130.70107999999999</v>
      </c>
      <c r="H91" s="13">
        <v>132.79638700000001</v>
      </c>
      <c r="I91" s="13">
        <v>134.92765800000001</v>
      </c>
      <c r="J91" s="13">
        <v>136.754974</v>
      </c>
      <c r="K91" s="13">
        <v>138.449951</v>
      </c>
      <c r="L91" s="13">
        <v>140.032883</v>
      </c>
      <c r="M91" s="13">
        <v>141.29113799999999</v>
      </c>
      <c r="N91" s="13">
        <v>142.57965100000001</v>
      </c>
      <c r="O91" s="13">
        <v>143.833664</v>
      </c>
      <c r="P91" s="13">
        <v>144.74401900000001</v>
      </c>
      <c r="Q91" s="13">
        <v>145.835632</v>
      </c>
      <c r="R91" s="13">
        <v>147.00756799999999</v>
      </c>
      <c r="S91" s="13">
        <v>148.13810699999999</v>
      </c>
      <c r="T91" s="13">
        <v>149.22689800000001</v>
      </c>
      <c r="U91" s="13">
        <v>150.348724</v>
      </c>
      <c r="V91" s="13">
        <v>151.46139500000001</v>
      </c>
      <c r="W91" s="13">
        <v>152.58296200000001</v>
      </c>
      <c r="X91" s="13">
        <v>153.70095800000001</v>
      </c>
      <c r="Y91" s="13">
        <v>154.72216800000001</v>
      </c>
      <c r="Z91" s="13">
        <v>155.68014500000001</v>
      </c>
      <c r="AA91" s="13">
        <v>156.67439300000001</v>
      </c>
      <c r="AB91" s="13">
        <v>157.79980499999999</v>
      </c>
      <c r="AC91" s="13">
        <v>158.97522000000001</v>
      </c>
      <c r="AD91" s="13">
        <v>160.198578</v>
      </c>
      <c r="AE91" s="13">
        <v>161.52488700000001</v>
      </c>
      <c r="AF91" s="13">
        <v>162.898697</v>
      </c>
      <c r="AG91" s="13">
        <v>164.28311199999999</v>
      </c>
      <c r="AH91" s="13">
        <v>165.74520899999999</v>
      </c>
      <c r="AI91" s="13">
        <v>167.180511</v>
      </c>
      <c r="AJ91" s="13">
        <v>168.50799599999999</v>
      </c>
    </row>
    <row r="92" spans="1:37" s="9" customFormat="1" ht="15" customHeight="1">
      <c r="A92" s="12" t="s">
        <v>49</v>
      </c>
      <c r="B92" s="68"/>
      <c r="C92" s="13">
        <v>157.322937</v>
      </c>
      <c r="D92" s="13">
        <v>153.701065</v>
      </c>
      <c r="E92" s="13">
        <v>151.582672</v>
      </c>
      <c r="F92" s="13">
        <v>155.69169600000001</v>
      </c>
      <c r="G92" s="13">
        <v>159.86795000000001</v>
      </c>
      <c r="H92" s="13">
        <v>162.80221599999999</v>
      </c>
      <c r="I92" s="13">
        <v>165.74144000000001</v>
      </c>
      <c r="J92" s="13">
        <v>168.31100499999999</v>
      </c>
      <c r="K92" s="13">
        <v>170.69059799999999</v>
      </c>
      <c r="L92" s="13">
        <v>172.38211100000001</v>
      </c>
      <c r="M92" s="13">
        <v>173.741119</v>
      </c>
      <c r="N92" s="13">
        <v>175.29757699999999</v>
      </c>
      <c r="O92" s="13">
        <v>176.678528</v>
      </c>
      <c r="P92" s="13">
        <v>177.27307099999999</v>
      </c>
      <c r="Q92" s="13">
        <v>178.23526000000001</v>
      </c>
      <c r="R92" s="13">
        <v>179.42210399999999</v>
      </c>
      <c r="S92" s="13">
        <v>180.38732899999999</v>
      </c>
      <c r="T92" s="13">
        <v>181.36642499999999</v>
      </c>
      <c r="U92" s="13">
        <v>182.40707399999999</v>
      </c>
      <c r="V92" s="13">
        <v>183.42965699999999</v>
      </c>
      <c r="W92" s="13">
        <v>184.56994599999999</v>
      </c>
      <c r="X92" s="13">
        <v>185.71440100000001</v>
      </c>
      <c r="Y92" s="13">
        <v>186.758926</v>
      </c>
      <c r="Z92" s="13">
        <v>187.737335</v>
      </c>
      <c r="AA92" s="13">
        <v>188.73962399999999</v>
      </c>
      <c r="AB92" s="13">
        <v>189.84655799999999</v>
      </c>
      <c r="AC92" s="13">
        <v>191.029053</v>
      </c>
      <c r="AD92" s="13">
        <v>192.29748499999999</v>
      </c>
      <c r="AE92" s="13">
        <v>193.690247</v>
      </c>
      <c r="AF92" s="13">
        <v>195.154144</v>
      </c>
      <c r="AG92" s="13">
        <v>196.645126</v>
      </c>
      <c r="AH92" s="13">
        <v>198.225784</v>
      </c>
      <c r="AI92" s="13">
        <v>199.78537</v>
      </c>
      <c r="AJ92" s="13">
        <v>201.23130800000001</v>
      </c>
    </row>
    <row r="93" spans="1:37" s="9" customFormat="1" ht="15" customHeight="1">
      <c r="A93" s="14" t="s">
        <v>48</v>
      </c>
      <c r="B93" s="89"/>
      <c r="C93" s="15">
        <v>1157.730225</v>
      </c>
      <c r="D93" s="15">
        <v>1202.8183590000001</v>
      </c>
      <c r="E93" s="15">
        <v>1141.0924070000001</v>
      </c>
      <c r="F93" s="15">
        <v>1077.5196530000001</v>
      </c>
      <c r="G93" s="15">
        <v>1092.834961</v>
      </c>
      <c r="H93" s="15">
        <v>1106.536255</v>
      </c>
      <c r="I93" s="15">
        <v>1119.5634769999999</v>
      </c>
      <c r="J93" s="15">
        <v>1129.9838870000001</v>
      </c>
      <c r="K93" s="15">
        <v>1139.165039</v>
      </c>
      <c r="L93" s="15">
        <v>1148.1484379999999</v>
      </c>
      <c r="M93" s="15">
        <v>1154.7730710000001</v>
      </c>
      <c r="N93" s="15">
        <v>1162.2144780000001</v>
      </c>
      <c r="O93" s="15">
        <v>1168.5974120000001</v>
      </c>
      <c r="P93" s="15">
        <v>1173.5979</v>
      </c>
      <c r="Q93" s="15">
        <v>1180.8779300000001</v>
      </c>
      <c r="R93" s="15">
        <v>1191.15625</v>
      </c>
      <c r="S93" s="15">
        <v>1198.0219729999999</v>
      </c>
      <c r="T93" s="15">
        <v>1205.4913329999999</v>
      </c>
      <c r="U93" s="15">
        <v>1213.4101559999999</v>
      </c>
      <c r="V93" s="15">
        <v>1221.174072</v>
      </c>
      <c r="W93" s="15">
        <v>1230.2645259999999</v>
      </c>
      <c r="X93" s="15">
        <v>1239.386841</v>
      </c>
      <c r="Y93" s="15">
        <v>1247.686279</v>
      </c>
      <c r="Z93" s="15">
        <v>1255.483643</v>
      </c>
      <c r="AA93" s="15">
        <v>1263.0356449999999</v>
      </c>
      <c r="AB93" s="15">
        <v>1271.381226</v>
      </c>
      <c r="AC93" s="15">
        <v>1280.169189</v>
      </c>
      <c r="AD93" s="15">
        <v>1289.4785159999999</v>
      </c>
      <c r="AE93" s="15">
        <v>1299.583496</v>
      </c>
      <c r="AF93" s="15">
        <v>1310.106567</v>
      </c>
      <c r="AG93" s="15">
        <v>1320.775024</v>
      </c>
      <c r="AH93" s="15">
        <v>1332.02478</v>
      </c>
      <c r="AI93" s="15">
        <v>1343.1195070000001</v>
      </c>
      <c r="AJ93" s="15">
        <v>1353.4395750000001</v>
      </c>
    </row>
    <row r="94" spans="1:37" s="8" customFormat="1">
      <c r="A94" s="2" t="s">
        <v>338</v>
      </c>
      <c r="B94" s="2"/>
    </row>
    <row r="95" spans="1:37" s="9" customFormat="1" ht="15" customHeight="1">
      <c r="A95" s="60" t="s">
        <v>325</v>
      </c>
      <c r="B95" s="60" t="str">
        <f>About!C90</f>
        <v>LPG/propane/butane</v>
      </c>
      <c r="C95" s="64">
        <v>0.439772</v>
      </c>
      <c r="D95" s="64">
        <v>0.52067200000000002</v>
      </c>
      <c r="E95" s="64">
        <v>0.44447199999999998</v>
      </c>
      <c r="F95" s="64">
        <v>0.19968</v>
      </c>
      <c r="G95" s="64">
        <v>0.19961200000000001</v>
      </c>
      <c r="H95" s="64">
        <v>0.19977400000000001</v>
      </c>
      <c r="I95" s="64">
        <v>0.19994300000000001</v>
      </c>
      <c r="J95" s="64">
        <v>0.19985</v>
      </c>
      <c r="K95" s="64">
        <v>0.20059399999999999</v>
      </c>
      <c r="L95" s="64">
        <v>0.20139299999999999</v>
      </c>
      <c r="M95" s="64">
        <v>0.201958</v>
      </c>
      <c r="N95" s="64">
        <v>0.20313100000000001</v>
      </c>
      <c r="O95" s="64">
        <v>0.20412</v>
      </c>
      <c r="P95" s="64">
        <v>0.20505200000000001</v>
      </c>
      <c r="Q95" s="64">
        <v>0.20644199999999999</v>
      </c>
      <c r="R95" s="64">
        <v>0.208231</v>
      </c>
      <c r="S95" s="64">
        <v>0.20915900000000001</v>
      </c>
      <c r="T95" s="64">
        <v>0.210535</v>
      </c>
      <c r="U95" s="64">
        <v>0.212064</v>
      </c>
      <c r="V95" s="64">
        <v>0.213366</v>
      </c>
      <c r="W95" s="64">
        <v>0.21501300000000001</v>
      </c>
      <c r="X95" s="64">
        <v>0.21679699999999999</v>
      </c>
      <c r="Y95" s="64">
        <v>0.218144</v>
      </c>
      <c r="Z95" s="64">
        <v>0.219636</v>
      </c>
      <c r="AA95" s="64">
        <v>0.221191</v>
      </c>
      <c r="AB95" s="64">
        <v>0.222553</v>
      </c>
      <c r="AC95" s="64">
        <v>0.22416</v>
      </c>
      <c r="AD95" s="64">
        <v>0.226054</v>
      </c>
      <c r="AE95" s="64">
        <v>0.227992</v>
      </c>
      <c r="AF95" s="64">
        <v>0.23014399999999999</v>
      </c>
      <c r="AG95" s="64">
        <v>0.23227400000000001</v>
      </c>
      <c r="AH95" s="64">
        <v>0.23442199999999999</v>
      </c>
      <c r="AI95" s="64">
        <v>0.236372</v>
      </c>
      <c r="AJ95" s="64">
        <v>0.23841300000000001</v>
      </c>
      <c r="AK95" s="62">
        <v>-2.4114E-2</v>
      </c>
    </row>
    <row r="96" spans="1:37" s="9" customFormat="1" ht="15" customHeight="1">
      <c r="A96" s="60" t="s">
        <v>326</v>
      </c>
      <c r="B96" s="60" t="str">
        <f>About!C91</f>
        <v>LPG/propane/butane</v>
      </c>
      <c r="C96" s="64">
        <v>2.3506</v>
      </c>
      <c r="D96" s="64">
        <v>2.5752999999999999</v>
      </c>
      <c r="E96" s="64">
        <v>2.7801999999999998</v>
      </c>
      <c r="F96" s="64">
        <v>2.9331</v>
      </c>
      <c r="G96" s="64">
        <v>3.1452</v>
      </c>
      <c r="H96" s="64">
        <v>3.239655</v>
      </c>
      <c r="I96" s="64">
        <v>3.3009840000000001</v>
      </c>
      <c r="J96" s="64">
        <v>3.3742209999999999</v>
      </c>
      <c r="K96" s="64">
        <v>3.4241670000000002</v>
      </c>
      <c r="L96" s="64">
        <v>3.4581080000000002</v>
      </c>
      <c r="M96" s="64">
        <v>3.5395099999999999</v>
      </c>
      <c r="N96" s="64">
        <v>3.5844140000000002</v>
      </c>
      <c r="O96" s="64">
        <v>3.649616</v>
      </c>
      <c r="P96" s="64">
        <v>3.6760510000000002</v>
      </c>
      <c r="Q96" s="64">
        <v>3.721457</v>
      </c>
      <c r="R96" s="64">
        <v>3.7670729999999999</v>
      </c>
      <c r="S96" s="64">
        <v>3.8010090000000001</v>
      </c>
      <c r="T96" s="64">
        <v>3.794006</v>
      </c>
      <c r="U96" s="64">
        <v>3.8187700000000002</v>
      </c>
      <c r="V96" s="64">
        <v>3.8547539999999998</v>
      </c>
      <c r="W96" s="64">
        <v>3.8642080000000001</v>
      </c>
      <c r="X96" s="64">
        <v>3.9172690000000001</v>
      </c>
      <c r="Y96" s="64">
        <v>3.9433720000000001</v>
      </c>
      <c r="Z96" s="64">
        <v>3.9567410000000001</v>
      </c>
      <c r="AA96" s="64">
        <v>3.984451</v>
      </c>
      <c r="AB96" s="64">
        <v>4.0168059999999999</v>
      </c>
      <c r="AC96" s="64">
        <v>4.009512</v>
      </c>
      <c r="AD96" s="64">
        <v>4.034332</v>
      </c>
      <c r="AE96" s="64">
        <v>4.0472320000000002</v>
      </c>
      <c r="AF96" s="64">
        <v>4.0707820000000003</v>
      </c>
      <c r="AG96" s="64">
        <v>4.0935550000000003</v>
      </c>
      <c r="AH96" s="64">
        <v>4.1407959999999999</v>
      </c>
      <c r="AI96" s="64">
        <v>4.1461370000000004</v>
      </c>
      <c r="AJ96" s="64">
        <v>4.1715900000000001</v>
      </c>
      <c r="AK96" s="62">
        <v>1.5187000000000001E-2</v>
      </c>
    </row>
    <row r="97" spans="1:37" s="9" customFormat="1" ht="15" customHeight="1">
      <c r="A97" s="60" t="s">
        <v>327</v>
      </c>
      <c r="B97" s="60" t="str">
        <f>About!C92</f>
        <v>Petroleum Diesel</v>
      </c>
      <c r="C97" s="64">
        <v>0.26169999999999999</v>
      </c>
      <c r="D97" s="64">
        <v>0.26140000000000002</v>
      </c>
      <c r="E97" s="64">
        <v>0.2616</v>
      </c>
      <c r="F97" s="64">
        <v>0.268758</v>
      </c>
      <c r="G97" s="64">
        <v>0.27503499999999997</v>
      </c>
      <c r="H97" s="64">
        <v>0.27960200000000002</v>
      </c>
      <c r="I97" s="64">
        <v>0.283412</v>
      </c>
      <c r="J97" s="64">
        <v>0.28689700000000001</v>
      </c>
      <c r="K97" s="64">
        <v>0.29019299999999998</v>
      </c>
      <c r="L97" s="64">
        <v>0.29344300000000001</v>
      </c>
      <c r="M97" s="64">
        <v>0.295381</v>
      </c>
      <c r="N97" s="64">
        <v>0.29722799999999999</v>
      </c>
      <c r="O97" s="64">
        <v>0.29903099999999999</v>
      </c>
      <c r="P97" s="64">
        <v>0.29982599999999998</v>
      </c>
      <c r="Q97" s="64">
        <v>0.30136099999999999</v>
      </c>
      <c r="R97" s="64">
        <v>0.30305799999999999</v>
      </c>
      <c r="S97" s="64">
        <v>0.304205</v>
      </c>
      <c r="T97" s="64">
        <v>0.305589</v>
      </c>
      <c r="U97" s="64">
        <v>0.30698599999999998</v>
      </c>
      <c r="V97" s="64">
        <v>0.30851400000000001</v>
      </c>
      <c r="W97" s="64">
        <v>0.31019999999999998</v>
      </c>
      <c r="X97" s="64">
        <v>0.31214799999999998</v>
      </c>
      <c r="Y97" s="64">
        <v>0.31377899999999997</v>
      </c>
      <c r="Z97" s="64">
        <v>0.31533099999999997</v>
      </c>
      <c r="AA97" s="64">
        <v>0.31679800000000002</v>
      </c>
      <c r="AB97" s="64">
        <v>0.31836799999999998</v>
      </c>
      <c r="AC97" s="64">
        <v>0.31982500000000003</v>
      </c>
      <c r="AD97" s="64">
        <v>0.32156600000000002</v>
      </c>
      <c r="AE97" s="64">
        <v>0.323349</v>
      </c>
      <c r="AF97" s="64">
        <v>0.32525500000000002</v>
      </c>
      <c r="AG97" s="64">
        <v>0.32716499999999998</v>
      </c>
      <c r="AH97" s="64">
        <v>0.32925700000000002</v>
      </c>
      <c r="AI97" s="64">
        <v>0.33109300000000003</v>
      </c>
      <c r="AJ97" s="64">
        <v>0.33303899999999997</v>
      </c>
      <c r="AK97" s="62">
        <v>7.5979999999999997E-3</v>
      </c>
    </row>
    <row r="98" spans="1:37" s="9" customFormat="1" ht="15" customHeight="1">
      <c r="A98" s="60" t="s">
        <v>51</v>
      </c>
      <c r="B98" s="60" t="str">
        <f>About!C93</f>
        <v>Petroleum Diesel</v>
      </c>
      <c r="C98" s="64">
        <v>1.1632229999999999</v>
      </c>
      <c r="D98" s="64">
        <v>1.222623</v>
      </c>
      <c r="E98" s="64">
        <v>1.2315229999999999</v>
      </c>
      <c r="F98" s="64">
        <v>1.2455210000000001</v>
      </c>
      <c r="G98" s="64">
        <v>1.2498389999999999</v>
      </c>
      <c r="H98" s="64">
        <v>1.2583789999999999</v>
      </c>
      <c r="I98" s="64">
        <v>1.2626679999999999</v>
      </c>
      <c r="J98" s="64">
        <v>1.2664010000000001</v>
      </c>
      <c r="K98" s="64">
        <v>1.2709239999999999</v>
      </c>
      <c r="L98" s="64">
        <v>1.277825</v>
      </c>
      <c r="M98" s="64">
        <v>1.282006</v>
      </c>
      <c r="N98" s="64">
        <v>1.2880400000000001</v>
      </c>
      <c r="O98" s="64">
        <v>1.2932619999999999</v>
      </c>
      <c r="P98" s="64">
        <v>1.298848</v>
      </c>
      <c r="Q98" s="64">
        <v>1.307579</v>
      </c>
      <c r="R98" s="64">
        <v>1.3155859999999999</v>
      </c>
      <c r="S98" s="64">
        <v>1.322735</v>
      </c>
      <c r="T98" s="64">
        <v>1.3315269999999999</v>
      </c>
      <c r="U98" s="64">
        <v>1.3420879999999999</v>
      </c>
      <c r="V98" s="64">
        <v>1.352257</v>
      </c>
      <c r="W98" s="64">
        <v>1.3619000000000001</v>
      </c>
      <c r="X98" s="64">
        <v>1.3741969999999999</v>
      </c>
      <c r="Y98" s="64">
        <v>1.383532</v>
      </c>
      <c r="Z98" s="64">
        <v>1.394199</v>
      </c>
      <c r="AA98" s="64">
        <v>1.40682</v>
      </c>
      <c r="AB98" s="64">
        <v>1.417697</v>
      </c>
      <c r="AC98" s="64">
        <v>1.4283410000000001</v>
      </c>
      <c r="AD98" s="64">
        <v>1.4420500000000001</v>
      </c>
      <c r="AE98" s="64">
        <v>1.4550559999999999</v>
      </c>
      <c r="AF98" s="64">
        <v>1.469325</v>
      </c>
      <c r="AG98" s="64">
        <v>1.4833419999999999</v>
      </c>
      <c r="AH98" s="64">
        <v>1.497719</v>
      </c>
      <c r="AI98" s="64">
        <v>1.5087710000000001</v>
      </c>
      <c r="AJ98" s="64">
        <v>1.521933</v>
      </c>
      <c r="AK98" s="62">
        <v>6.8669999999999998E-3</v>
      </c>
    </row>
    <row r="99" spans="1:37" s="9" customFormat="1" ht="15" customHeight="1">
      <c r="A99" s="60" t="s">
        <v>52</v>
      </c>
      <c r="B99" s="60" t="str">
        <f>About!C94</f>
        <v>Heavy or Residual Oil</v>
      </c>
      <c r="C99" s="64">
        <v>5.4046999999999998E-2</v>
      </c>
      <c r="D99" s="64">
        <v>5.0047000000000001E-2</v>
      </c>
      <c r="E99" s="64">
        <v>5.2646999999999999E-2</v>
      </c>
      <c r="F99" s="64">
        <v>5.4524000000000003E-2</v>
      </c>
      <c r="G99" s="64">
        <v>5.6184999999999999E-2</v>
      </c>
      <c r="H99" s="64">
        <v>5.7258999999999997E-2</v>
      </c>
      <c r="I99" s="64">
        <v>5.8069000000000003E-2</v>
      </c>
      <c r="J99" s="64">
        <v>5.9026000000000002E-2</v>
      </c>
      <c r="K99" s="64">
        <v>6.0484000000000003E-2</v>
      </c>
      <c r="L99" s="64">
        <v>6.1610999999999999E-2</v>
      </c>
      <c r="M99" s="64">
        <v>6.2170999999999997E-2</v>
      </c>
      <c r="N99" s="64">
        <v>6.2813999999999995E-2</v>
      </c>
      <c r="O99" s="64">
        <v>6.3417000000000001E-2</v>
      </c>
      <c r="P99" s="64">
        <v>6.3611000000000001E-2</v>
      </c>
      <c r="Q99" s="64">
        <v>6.3933000000000004E-2</v>
      </c>
      <c r="R99" s="64">
        <v>6.4126000000000002E-2</v>
      </c>
      <c r="S99" s="64">
        <v>6.4411999999999997E-2</v>
      </c>
      <c r="T99" s="64">
        <v>6.4648999999999998E-2</v>
      </c>
      <c r="U99" s="64">
        <v>6.4921999999999994E-2</v>
      </c>
      <c r="V99" s="64">
        <v>6.5262000000000001E-2</v>
      </c>
      <c r="W99" s="64">
        <v>6.5572000000000005E-2</v>
      </c>
      <c r="X99" s="64">
        <v>6.5956000000000001E-2</v>
      </c>
      <c r="Y99" s="64">
        <v>6.6229999999999997E-2</v>
      </c>
      <c r="Z99" s="64">
        <v>6.6513000000000003E-2</v>
      </c>
      <c r="AA99" s="64">
        <v>6.6736000000000004E-2</v>
      </c>
      <c r="AB99" s="64">
        <v>6.6878999999999994E-2</v>
      </c>
      <c r="AC99" s="64">
        <v>6.6961000000000007E-2</v>
      </c>
      <c r="AD99" s="64">
        <v>6.7220000000000002E-2</v>
      </c>
      <c r="AE99" s="64">
        <v>6.7430000000000004E-2</v>
      </c>
      <c r="AF99" s="64">
        <v>6.7631999999999998E-2</v>
      </c>
      <c r="AG99" s="64">
        <v>6.7854999999999999E-2</v>
      </c>
      <c r="AH99" s="64">
        <v>6.8171999999999996E-2</v>
      </c>
      <c r="AI99" s="64">
        <v>6.8367999999999998E-2</v>
      </c>
      <c r="AJ99" s="64">
        <v>6.8713999999999997E-2</v>
      </c>
      <c r="AK99" s="62">
        <v>9.9550000000000003E-3</v>
      </c>
    </row>
    <row r="100" spans="1:37" s="9" customFormat="1" ht="15" customHeight="1">
      <c r="A100" s="60" t="s">
        <v>53</v>
      </c>
      <c r="B100" s="60" t="str">
        <f>About!C95</f>
        <v>LPG/propane/butane</v>
      </c>
      <c r="C100" s="64">
        <v>0.69910000000000005</v>
      </c>
      <c r="D100" s="64">
        <v>0.65690000000000004</v>
      </c>
      <c r="E100" s="64">
        <v>0.69799999999999995</v>
      </c>
      <c r="F100" s="64">
        <v>0.72949299999999995</v>
      </c>
      <c r="G100" s="64">
        <v>0.77407800000000004</v>
      </c>
      <c r="H100" s="64">
        <v>0.819407</v>
      </c>
      <c r="I100" s="64">
        <v>0.85519100000000003</v>
      </c>
      <c r="J100" s="64">
        <v>0.89721600000000001</v>
      </c>
      <c r="K100" s="64">
        <v>0.92813900000000005</v>
      </c>
      <c r="L100" s="64">
        <v>0.95019500000000001</v>
      </c>
      <c r="M100" s="64">
        <v>0.99443700000000002</v>
      </c>
      <c r="N100" s="64">
        <v>1.0226770000000001</v>
      </c>
      <c r="O100" s="64">
        <v>1.0589329999999999</v>
      </c>
      <c r="P100" s="64">
        <v>1.076451</v>
      </c>
      <c r="Q100" s="64">
        <v>1.1015649999999999</v>
      </c>
      <c r="R100" s="64">
        <v>1.127151</v>
      </c>
      <c r="S100" s="64">
        <v>1.146841</v>
      </c>
      <c r="T100" s="64">
        <v>1.1452260000000001</v>
      </c>
      <c r="U100" s="64">
        <v>1.1584840000000001</v>
      </c>
      <c r="V100" s="64">
        <v>1.177856</v>
      </c>
      <c r="W100" s="64">
        <v>1.1850069999999999</v>
      </c>
      <c r="X100" s="64">
        <v>1.212761</v>
      </c>
      <c r="Y100" s="64">
        <v>1.2285619999999999</v>
      </c>
      <c r="Z100" s="64">
        <v>1.2370909999999999</v>
      </c>
      <c r="AA100" s="64">
        <v>1.251803</v>
      </c>
      <c r="AB100" s="64">
        <v>1.2693559999999999</v>
      </c>
      <c r="AC100" s="64">
        <v>1.267558</v>
      </c>
      <c r="AD100" s="64">
        <v>1.2807440000000001</v>
      </c>
      <c r="AE100" s="64">
        <v>1.2886660000000001</v>
      </c>
      <c r="AF100" s="64">
        <v>1.301666</v>
      </c>
      <c r="AG100" s="64">
        <v>1.314546</v>
      </c>
      <c r="AH100" s="64">
        <v>1.3396220000000001</v>
      </c>
      <c r="AI100" s="64">
        <v>1.3422879999999999</v>
      </c>
      <c r="AJ100" s="64">
        <v>1.3581529999999999</v>
      </c>
      <c r="AK100" s="62">
        <v>2.2957999999999999E-2</v>
      </c>
    </row>
    <row r="101" spans="1:37" s="9" customFormat="1" ht="15" customHeight="1">
      <c r="A101" s="60" t="s">
        <v>328</v>
      </c>
      <c r="B101" s="60" t="str">
        <f>About!C96</f>
        <v>Petroleum Diesel</v>
      </c>
      <c r="C101" s="64">
        <v>8.5871000000000003E-2</v>
      </c>
      <c r="D101" s="64">
        <v>8.8170999999999999E-2</v>
      </c>
      <c r="E101" s="64">
        <v>9.3171000000000004E-2</v>
      </c>
      <c r="F101" s="64">
        <v>8.8564000000000004E-2</v>
      </c>
      <c r="G101" s="64">
        <v>8.3861000000000005E-2</v>
      </c>
      <c r="H101" s="64">
        <v>8.0367999999999995E-2</v>
      </c>
      <c r="I101" s="64">
        <v>7.7727000000000004E-2</v>
      </c>
      <c r="J101" s="64">
        <v>7.5356999999999993E-2</v>
      </c>
      <c r="K101" s="64">
        <v>7.6896999999999993E-2</v>
      </c>
      <c r="L101" s="64">
        <v>7.6429999999999998E-2</v>
      </c>
      <c r="M101" s="64">
        <v>7.5051000000000007E-2</v>
      </c>
      <c r="N101" s="64">
        <v>7.5469999999999995E-2</v>
      </c>
      <c r="O101" s="64">
        <v>7.4916999999999997E-2</v>
      </c>
      <c r="P101" s="64">
        <v>7.4450000000000002E-2</v>
      </c>
      <c r="Q101" s="64">
        <v>7.3992000000000002E-2</v>
      </c>
      <c r="R101" s="64">
        <v>7.4156E-2</v>
      </c>
      <c r="S101" s="64">
        <v>7.3905999999999999E-2</v>
      </c>
      <c r="T101" s="64">
        <v>7.3658000000000001E-2</v>
      </c>
      <c r="U101" s="64">
        <v>7.2387999999999994E-2</v>
      </c>
      <c r="V101" s="64">
        <v>7.2935E-2</v>
      </c>
      <c r="W101" s="64">
        <v>7.3789999999999994E-2</v>
      </c>
      <c r="X101" s="64">
        <v>7.4261999999999995E-2</v>
      </c>
      <c r="Y101" s="64">
        <v>7.4526999999999996E-2</v>
      </c>
      <c r="Z101" s="64">
        <v>7.5052999999999995E-2</v>
      </c>
      <c r="AA101" s="64">
        <v>7.5259000000000006E-2</v>
      </c>
      <c r="AB101" s="64">
        <v>7.5555999999999998E-2</v>
      </c>
      <c r="AC101" s="64">
        <v>7.6220999999999997E-2</v>
      </c>
      <c r="AD101" s="64">
        <v>7.7128000000000002E-2</v>
      </c>
      <c r="AE101" s="64">
        <v>7.8028E-2</v>
      </c>
      <c r="AF101" s="64">
        <v>7.8685000000000005E-2</v>
      </c>
      <c r="AG101" s="64">
        <v>7.9507999999999995E-2</v>
      </c>
      <c r="AH101" s="64">
        <v>8.0623E-2</v>
      </c>
      <c r="AI101" s="64">
        <v>8.1439999999999999E-2</v>
      </c>
      <c r="AJ101" s="64">
        <v>8.2029000000000005E-2</v>
      </c>
      <c r="AK101" s="62">
        <v>-2.2539999999999999E-3</v>
      </c>
    </row>
    <row r="102" spans="1:37" s="9" customFormat="1" ht="15" customHeight="1">
      <c r="A102" s="60" t="s">
        <v>329</v>
      </c>
      <c r="B102" s="60" t="str">
        <f>About!C97</f>
        <v>Petroleum Diesel</v>
      </c>
      <c r="C102" s="64">
        <v>0.84919999999999995</v>
      </c>
      <c r="D102" s="64">
        <v>0.85209999999999997</v>
      </c>
      <c r="E102" s="64">
        <v>0.87880000000000003</v>
      </c>
      <c r="F102" s="64">
        <v>0.888602</v>
      </c>
      <c r="G102" s="64">
        <v>0.90391299999999997</v>
      </c>
      <c r="H102" s="64">
        <v>0.91840699999999997</v>
      </c>
      <c r="I102" s="64">
        <v>0.92540299999999998</v>
      </c>
      <c r="J102" s="64">
        <v>0.93040100000000003</v>
      </c>
      <c r="K102" s="64">
        <v>0.93624499999999999</v>
      </c>
      <c r="L102" s="64">
        <v>0.94327499999999997</v>
      </c>
      <c r="M102" s="64">
        <v>0.95116000000000001</v>
      </c>
      <c r="N102" s="64">
        <v>0.95908199999999999</v>
      </c>
      <c r="O102" s="64">
        <v>0.97584099999999996</v>
      </c>
      <c r="P102" s="64">
        <v>1.0036240000000001</v>
      </c>
      <c r="Q102" s="64">
        <v>1.031018</v>
      </c>
      <c r="R102" s="64">
        <v>1.0535289999999999</v>
      </c>
      <c r="S102" s="64">
        <v>1.0793729999999999</v>
      </c>
      <c r="T102" s="64">
        <v>1.1057440000000001</v>
      </c>
      <c r="U102" s="64">
        <v>1.130479</v>
      </c>
      <c r="V102" s="64">
        <v>1.15509</v>
      </c>
      <c r="W102" s="64">
        <v>1.1821900000000001</v>
      </c>
      <c r="X102" s="64">
        <v>1.2074130000000001</v>
      </c>
      <c r="Y102" s="64">
        <v>1.231676</v>
      </c>
      <c r="Z102" s="64">
        <v>1.259074</v>
      </c>
      <c r="AA102" s="64">
        <v>1.286297</v>
      </c>
      <c r="AB102" s="64">
        <v>1.314357</v>
      </c>
      <c r="AC102" s="64">
        <v>1.342856</v>
      </c>
      <c r="AD102" s="64">
        <v>1.3718060000000001</v>
      </c>
      <c r="AE102" s="64">
        <v>1.401778</v>
      </c>
      <c r="AF102" s="64">
        <v>1.432302</v>
      </c>
      <c r="AG102" s="64">
        <v>1.463848</v>
      </c>
      <c r="AH102" s="64">
        <v>1.4956320000000001</v>
      </c>
      <c r="AI102" s="64">
        <v>1.5281450000000001</v>
      </c>
      <c r="AJ102" s="64">
        <v>1.561572</v>
      </c>
      <c r="AK102" s="62">
        <v>1.9109999999999999E-2</v>
      </c>
    </row>
    <row r="103" spans="1:37" s="9" customFormat="1" ht="15" customHeight="1">
      <c r="A103" s="60" t="s">
        <v>330</v>
      </c>
      <c r="B103" s="60" t="str">
        <f>About!C98</f>
        <v>Heavy or Residual Oil</v>
      </c>
      <c r="C103" s="64">
        <v>0.44779999999999998</v>
      </c>
      <c r="D103" s="64">
        <v>0.45900000000000002</v>
      </c>
      <c r="E103" s="64">
        <v>0.46079999999999999</v>
      </c>
      <c r="F103" s="64">
        <v>0.423151</v>
      </c>
      <c r="G103" s="64">
        <v>0.38906400000000002</v>
      </c>
      <c r="H103" s="64">
        <v>0.36835099999999998</v>
      </c>
      <c r="I103" s="64">
        <v>0.35024300000000003</v>
      </c>
      <c r="J103" s="64">
        <v>0.33425500000000002</v>
      </c>
      <c r="K103" s="64">
        <v>0.33837299999999998</v>
      </c>
      <c r="L103" s="64">
        <v>0.33512700000000001</v>
      </c>
      <c r="M103" s="64">
        <v>0.32887</v>
      </c>
      <c r="N103" s="64">
        <v>0.328953</v>
      </c>
      <c r="O103" s="64">
        <v>0.32459100000000002</v>
      </c>
      <c r="P103" s="64">
        <v>0.32442599999999999</v>
      </c>
      <c r="Q103" s="64">
        <v>0.32291700000000001</v>
      </c>
      <c r="R103" s="64">
        <v>0.32571299999999997</v>
      </c>
      <c r="S103" s="64">
        <v>0.32729900000000001</v>
      </c>
      <c r="T103" s="64">
        <v>0.32724500000000001</v>
      </c>
      <c r="U103" s="64">
        <v>0.32783400000000001</v>
      </c>
      <c r="V103" s="64">
        <v>0.32866200000000001</v>
      </c>
      <c r="W103" s="64">
        <v>0.32936900000000002</v>
      </c>
      <c r="X103" s="64">
        <v>0.32996700000000001</v>
      </c>
      <c r="Y103" s="64">
        <v>0.32967099999999999</v>
      </c>
      <c r="Z103" s="64">
        <v>0.330513</v>
      </c>
      <c r="AA103" s="64">
        <v>0.330181</v>
      </c>
      <c r="AB103" s="64">
        <v>0.33007599999999998</v>
      </c>
      <c r="AC103" s="64">
        <v>0.33154499999999998</v>
      </c>
      <c r="AD103" s="64">
        <v>0.334623</v>
      </c>
      <c r="AE103" s="64">
        <v>0.33678900000000001</v>
      </c>
      <c r="AF103" s="64">
        <v>0.33914100000000003</v>
      </c>
      <c r="AG103" s="64">
        <v>0.34180700000000003</v>
      </c>
      <c r="AH103" s="64">
        <v>0.34646900000000003</v>
      </c>
      <c r="AI103" s="64">
        <v>0.34994999999999998</v>
      </c>
      <c r="AJ103" s="64">
        <v>0.35389199999999998</v>
      </c>
      <c r="AK103" s="62">
        <v>-8.0940000000000005E-3</v>
      </c>
    </row>
    <row r="104" spans="1:37" s="9" customFormat="1" ht="15" customHeight="1">
      <c r="A104" s="60" t="s">
        <v>97</v>
      </c>
      <c r="B104" s="60"/>
      <c r="C104" s="64">
        <v>6.3513140000000003</v>
      </c>
      <c r="D104" s="64">
        <v>6.6862130000000004</v>
      </c>
      <c r="E104" s="64">
        <v>6.9012130000000003</v>
      </c>
      <c r="F104" s="64">
        <v>6.8313940000000004</v>
      </c>
      <c r="G104" s="64">
        <v>7.0767860000000002</v>
      </c>
      <c r="H104" s="64">
        <v>7.2212019999999999</v>
      </c>
      <c r="I104" s="64">
        <v>7.3136400000000004</v>
      </c>
      <c r="J104" s="64">
        <v>7.4236219999999999</v>
      </c>
      <c r="K104" s="64">
        <v>7.5260160000000003</v>
      </c>
      <c r="L104" s="64">
        <v>7.5974060000000003</v>
      </c>
      <c r="M104" s="64">
        <v>7.7305429999999999</v>
      </c>
      <c r="N104" s="64">
        <v>7.821809</v>
      </c>
      <c r="O104" s="64">
        <v>7.943727</v>
      </c>
      <c r="P104" s="64">
        <v>8.0223379999999995</v>
      </c>
      <c r="Q104" s="64">
        <v>8.1302629999999994</v>
      </c>
      <c r="R104" s="64">
        <v>8.2386219999999994</v>
      </c>
      <c r="S104" s="64">
        <v>8.3289380000000008</v>
      </c>
      <c r="T104" s="64">
        <v>8.3581800000000008</v>
      </c>
      <c r="U104" s="64">
        <v>8.4340159999999997</v>
      </c>
      <c r="V104" s="64">
        <v>8.5286950000000008</v>
      </c>
      <c r="W104" s="64">
        <v>8.5872499999999992</v>
      </c>
      <c r="X104" s="64">
        <v>8.7107729999999997</v>
      </c>
      <c r="Y104" s="64">
        <v>8.7894939999999995</v>
      </c>
      <c r="Z104" s="64">
        <v>8.8541509999999999</v>
      </c>
      <c r="AA104" s="64">
        <v>8.9395360000000004</v>
      </c>
      <c r="AB104" s="64">
        <v>9.0316480000000006</v>
      </c>
      <c r="AC104" s="64">
        <v>9.0669780000000006</v>
      </c>
      <c r="AD104" s="64">
        <v>9.1555230000000005</v>
      </c>
      <c r="AE104" s="64">
        <v>9.2263210000000004</v>
      </c>
      <c r="AF104" s="64">
        <v>9.3149320000000007</v>
      </c>
      <c r="AG104" s="64">
        <v>9.4039000000000001</v>
      </c>
      <c r="AH104" s="64">
        <v>9.5327120000000001</v>
      </c>
      <c r="AI104" s="64">
        <v>9.5925659999999997</v>
      </c>
      <c r="AJ104" s="64">
        <v>9.6893349999999998</v>
      </c>
      <c r="AK104" s="62">
        <v>1.1660999999999999E-2</v>
      </c>
    </row>
    <row r="105" spans="1:37" s="9" customFormat="1" ht="15" customHeight="1">
      <c r="A105" s="60" t="s">
        <v>331</v>
      </c>
      <c r="B105" s="60"/>
      <c r="C105" s="64">
        <v>5.9394600000000004</v>
      </c>
      <c r="D105" s="64">
        <v>6.1816599999999999</v>
      </c>
      <c r="E105" s="64">
        <v>6.1247379999999998</v>
      </c>
      <c r="F105" s="64">
        <v>6.2927200000000001</v>
      </c>
      <c r="G105" s="64">
        <v>6.4929259999999998</v>
      </c>
      <c r="H105" s="64">
        <v>6.6429819999999999</v>
      </c>
      <c r="I105" s="64">
        <v>6.7597120000000004</v>
      </c>
      <c r="J105" s="64">
        <v>6.8794029999999999</v>
      </c>
      <c r="K105" s="64">
        <v>6.9189540000000003</v>
      </c>
      <c r="L105" s="64">
        <v>6.9831529999999997</v>
      </c>
      <c r="M105" s="64">
        <v>7.081429</v>
      </c>
      <c r="N105" s="64">
        <v>7.1410369999999999</v>
      </c>
      <c r="O105" s="64">
        <v>7.2032999999999996</v>
      </c>
      <c r="P105" s="64">
        <v>7.230988</v>
      </c>
      <c r="Q105" s="64">
        <v>7.2732559999999999</v>
      </c>
      <c r="R105" s="64">
        <v>7.2863350000000002</v>
      </c>
      <c r="S105" s="64">
        <v>7.2993959999999998</v>
      </c>
      <c r="T105" s="64">
        <v>7.3036709999999996</v>
      </c>
      <c r="U105" s="64">
        <v>7.3361460000000003</v>
      </c>
      <c r="V105" s="64">
        <v>7.3808049999999996</v>
      </c>
      <c r="W105" s="64">
        <v>7.4150070000000001</v>
      </c>
      <c r="X105" s="64">
        <v>7.4773160000000001</v>
      </c>
      <c r="Y105" s="64">
        <v>7.525595</v>
      </c>
      <c r="Z105" s="64">
        <v>7.560047</v>
      </c>
      <c r="AA105" s="64">
        <v>7.6107399999999998</v>
      </c>
      <c r="AB105" s="64">
        <v>7.6620109999999997</v>
      </c>
      <c r="AC105" s="64">
        <v>7.688974</v>
      </c>
      <c r="AD105" s="64">
        <v>7.7309130000000001</v>
      </c>
      <c r="AE105" s="64">
        <v>7.7764660000000001</v>
      </c>
      <c r="AF105" s="64">
        <v>7.8242859999999999</v>
      </c>
      <c r="AG105" s="64">
        <v>7.8738970000000004</v>
      </c>
      <c r="AH105" s="64">
        <v>7.9267599999999998</v>
      </c>
      <c r="AI105" s="64">
        <v>7.9640649999999997</v>
      </c>
      <c r="AJ105" s="64">
        <v>8.0190239999999999</v>
      </c>
      <c r="AK105" s="62">
        <v>8.1650000000000004E-3</v>
      </c>
    </row>
    <row r="106" spans="1:37" s="9" customFormat="1" ht="15" customHeight="1">
      <c r="A106" s="60" t="s">
        <v>332</v>
      </c>
      <c r="B106" s="60"/>
      <c r="C106" s="64">
        <v>0.82599999999999996</v>
      </c>
      <c r="D106" s="64">
        <v>0.89400000000000002</v>
      </c>
      <c r="E106" s="64">
        <v>0.94699999999999995</v>
      </c>
      <c r="F106" s="64">
        <v>0.95799999999999996</v>
      </c>
      <c r="G106" s="64">
        <v>0.96599999999999997</v>
      </c>
      <c r="H106" s="64">
        <v>0.98408099999999998</v>
      </c>
      <c r="I106" s="64">
        <v>0.99960899999999997</v>
      </c>
      <c r="J106" s="64">
        <v>1.0173760000000001</v>
      </c>
      <c r="K106" s="64">
        <v>1.0314099999999999</v>
      </c>
      <c r="L106" s="64">
        <v>1.043455</v>
      </c>
      <c r="M106" s="64">
        <v>1.060513</v>
      </c>
      <c r="N106" s="64">
        <v>1.072343</v>
      </c>
      <c r="O106" s="64">
        <v>1.079782</v>
      </c>
      <c r="P106" s="64">
        <v>1.079088</v>
      </c>
      <c r="Q106" s="64">
        <v>1.0834900000000001</v>
      </c>
      <c r="R106" s="64">
        <v>1.095556</v>
      </c>
      <c r="S106" s="64">
        <v>1.0964400000000001</v>
      </c>
      <c r="T106" s="64">
        <v>1.0947039999999999</v>
      </c>
      <c r="U106" s="64">
        <v>1.097108</v>
      </c>
      <c r="V106" s="64">
        <v>1.103558</v>
      </c>
      <c r="W106" s="64">
        <v>1.10629</v>
      </c>
      <c r="X106" s="64">
        <v>1.115955</v>
      </c>
      <c r="Y106" s="64">
        <v>1.1204400000000001</v>
      </c>
      <c r="Z106" s="64">
        <v>1.1217630000000001</v>
      </c>
      <c r="AA106" s="64">
        <v>1.123567</v>
      </c>
      <c r="AB106" s="64">
        <v>1.1262570000000001</v>
      </c>
      <c r="AC106" s="64">
        <v>1.1242810000000001</v>
      </c>
      <c r="AD106" s="64">
        <v>1.127246</v>
      </c>
      <c r="AE106" s="64">
        <v>1.128401</v>
      </c>
      <c r="AF106" s="64">
        <v>1.1310009999999999</v>
      </c>
      <c r="AG106" s="64">
        <v>1.1342019999999999</v>
      </c>
      <c r="AH106" s="64">
        <v>1.141446</v>
      </c>
      <c r="AI106" s="64">
        <v>1.1433340000000001</v>
      </c>
      <c r="AJ106" s="64">
        <v>1.147427</v>
      </c>
      <c r="AK106" s="62">
        <v>7.8300000000000002E-3</v>
      </c>
    </row>
    <row r="107" spans="1:37" s="9" customFormat="1" ht="15" customHeight="1">
      <c r="A107" s="468" t="s">
        <v>333</v>
      </c>
      <c r="B107" s="60"/>
      <c r="C107" s="64">
        <v>1.627453</v>
      </c>
      <c r="D107" s="64">
        <v>1.8070040000000001</v>
      </c>
      <c r="E107" s="64">
        <v>1.939764</v>
      </c>
      <c r="F107" s="64">
        <v>2.0253429999999999</v>
      </c>
      <c r="G107" s="64">
        <v>2.0708859999999998</v>
      </c>
      <c r="H107" s="64">
        <v>2.1089039999999999</v>
      </c>
      <c r="I107" s="64">
        <v>2.138973</v>
      </c>
      <c r="J107" s="64">
        <v>2.1718630000000001</v>
      </c>
      <c r="K107" s="64">
        <v>2.2022780000000002</v>
      </c>
      <c r="L107" s="64">
        <v>2.2560820000000001</v>
      </c>
      <c r="M107" s="64">
        <v>2.2753489999999998</v>
      </c>
      <c r="N107" s="64">
        <v>2.2911000000000001</v>
      </c>
      <c r="O107" s="64">
        <v>2.2974600000000001</v>
      </c>
      <c r="P107" s="64">
        <v>2.3020870000000002</v>
      </c>
      <c r="Q107" s="64">
        <v>2.319197</v>
      </c>
      <c r="R107" s="64">
        <v>2.33494</v>
      </c>
      <c r="S107" s="64">
        <v>2.3408570000000002</v>
      </c>
      <c r="T107" s="64">
        <v>2.3562150000000002</v>
      </c>
      <c r="U107" s="64">
        <v>2.366606</v>
      </c>
      <c r="V107" s="64">
        <v>2.3871859999999998</v>
      </c>
      <c r="W107" s="64">
        <v>2.3990770000000001</v>
      </c>
      <c r="X107" s="64">
        <v>2.4199709999999999</v>
      </c>
      <c r="Y107" s="64">
        <v>2.4342619999999999</v>
      </c>
      <c r="Z107" s="64">
        <v>2.456324</v>
      </c>
      <c r="AA107" s="64">
        <v>2.452296</v>
      </c>
      <c r="AB107" s="64">
        <v>2.4544139999999999</v>
      </c>
      <c r="AC107" s="64">
        <v>2.4459590000000002</v>
      </c>
      <c r="AD107" s="64">
        <v>2.4473669999999998</v>
      </c>
      <c r="AE107" s="64">
        <v>2.4416449999999998</v>
      </c>
      <c r="AF107" s="64">
        <v>2.4383910000000002</v>
      </c>
      <c r="AG107" s="64">
        <v>2.4294799999999999</v>
      </c>
      <c r="AH107" s="64">
        <v>2.4306079999999999</v>
      </c>
      <c r="AI107" s="64">
        <v>2.4204110000000001</v>
      </c>
      <c r="AJ107" s="64">
        <v>2.4211450000000001</v>
      </c>
      <c r="AK107" s="62">
        <v>9.1850000000000005E-3</v>
      </c>
    </row>
    <row r="108" spans="1:37" s="9" customFormat="1" ht="15" customHeight="1">
      <c r="A108" s="60" t="s">
        <v>334</v>
      </c>
      <c r="B108" s="60"/>
      <c r="C108" s="64">
        <v>7.3372000000000007E-2</v>
      </c>
      <c r="D108" s="64">
        <v>0.111803</v>
      </c>
      <c r="E108" s="64">
        <v>0.198681</v>
      </c>
      <c r="F108" s="64">
        <v>0.28018199999999999</v>
      </c>
      <c r="G108" s="64">
        <v>0.30360799999999999</v>
      </c>
      <c r="H108" s="64">
        <v>0.304732</v>
      </c>
      <c r="I108" s="64">
        <v>0.34478300000000001</v>
      </c>
      <c r="J108" s="64">
        <v>0.38741199999999998</v>
      </c>
      <c r="K108" s="64">
        <v>0.43491600000000002</v>
      </c>
      <c r="L108" s="64">
        <v>0.46948299999999998</v>
      </c>
      <c r="M108" s="64">
        <v>0.49022300000000002</v>
      </c>
      <c r="N108" s="64">
        <v>0.51185199999999997</v>
      </c>
      <c r="O108" s="64">
        <v>0.52478999999999998</v>
      </c>
      <c r="P108" s="64">
        <v>0.53170300000000004</v>
      </c>
      <c r="Q108" s="64">
        <v>0.53170300000000004</v>
      </c>
      <c r="R108" s="64">
        <v>0.53259199999999995</v>
      </c>
      <c r="S108" s="64">
        <v>0.53170300000000004</v>
      </c>
      <c r="T108" s="64">
        <v>0.53170300000000004</v>
      </c>
      <c r="U108" s="64">
        <v>0.53170300000000004</v>
      </c>
      <c r="V108" s="64">
        <v>0.53259199999999995</v>
      </c>
      <c r="W108" s="64">
        <v>0.53170300000000004</v>
      </c>
      <c r="X108" s="64">
        <v>0.53170300000000004</v>
      </c>
      <c r="Y108" s="64">
        <v>0.53170300000000004</v>
      </c>
      <c r="Z108" s="64">
        <v>0.53259199999999995</v>
      </c>
      <c r="AA108" s="64">
        <v>0.53170300000000004</v>
      </c>
      <c r="AB108" s="64">
        <v>0.53170300000000004</v>
      </c>
      <c r="AC108" s="64">
        <v>0.53170300000000004</v>
      </c>
      <c r="AD108" s="64">
        <v>0.53259199999999995</v>
      </c>
      <c r="AE108" s="64">
        <v>0.53170300000000004</v>
      </c>
      <c r="AF108" s="64">
        <v>0.53170300000000004</v>
      </c>
      <c r="AG108" s="64">
        <v>0.53170300000000004</v>
      </c>
      <c r="AH108" s="64">
        <v>0.53259199999999995</v>
      </c>
      <c r="AI108" s="64">
        <v>0.53170300000000004</v>
      </c>
      <c r="AJ108" s="64">
        <v>0.53170300000000004</v>
      </c>
      <c r="AK108" s="62">
        <v>4.9936000000000001E-2</v>
      </c>
    </row>
    <row r="109" spans="1:37" s="9" customFormat="1" ht="15" customHeight="1">
      <c r="A109" s="60" t="s">
        <v>54</v>
      </c>
      <c r="B109" s="60"/>
      <c r="C109" s="64">
        <v>8.4662860000000002</v>
      </c>
      <c r="D109" s="64">
        <v>8.9944670000000002</v>
      </c>
      <c r="E109" s="64">
        <v>9.2101830000000007</v>
      </c>
      <c r="F109" s="64">
        <v>9.5562459999999998</v>
      </c>
      <c r="G109" s="64">
        <v>9.8334200000000003</v>
      </c>
      <c r="H109" s="64">
        <v>10.040699</v>
      </c>
      <c r="I109" s="64">
        <v>10.243077</v>
      </c>
      <c r="J109" s="64">
        <v>10.456053000000001</v>
      </c>
      <c r="K109" s="64">
        <v>10.587559000000001</v>
      </c>
      <c r="L109" s="64">
        <v>10.752173000000001</v>
      </c>
      <c r="M109" s="64">
        <v>10.907515</v>
      </c>
      <c r="N109" s="64">
        <v>11.016332</v>
      </c>
      <c r="O109" s="64">
        <v>11.105331</v>
      </c>
      <c r="P109" s="64">
        <v>11.143865999999999</v>
      </c>
      <c r="Q109" s="64">
        <v>11.207644999999999</v>
      </c>
      <c r="R109" s="64">
        <v>11.249423</v>
      </c>
      <c r="S109" s="64">
        <v>11.268394000000001</v>
      </c>
      <c r="T109" s="64">
        <v>11.286292</v>
      </c>
      <c r="U109" s="64">
        <v>11.331562999999999</v>
      </c>
      <c r="V109" s="64">
        <v>11.40414</v>
      </c>
      <c r="W109" s="64">
        <v>11.452076</v>
      </c>
      <c r="X109" s="64">
        <v>11.544945</v>
      </c>
      <c r="Y109" s="64">
        <v>11.612</v>
      </c>
      <c r="Z109" s="64">
        <v>11.670726</v>
      </c>
      <c r="AA109" s="64">
        <v>11.718306</v>
      </c>
      <c r="AB109" s="64">
        <v>11.774384</v>
      </c>
      <c r="AC109" s="64">
        <v>11.790915999999999</v>
      </c>
      <c r="AD109" s="64">
        <v>11.838118</v>
      </c>
      <c r="AE109" s="64">
        <v>11.878215000000001</v>
      </c>
      <c r="AF109" s="64">
        <v>11.925381</v>
      </c>
      <c r="AG109" s="64">
        <v>11.969281000000001</v>
      </c>
      <c r="AH109" s="64">
        <v>12.031404999999999</v>
      </c>
      <c r="AI109" s="64">
        <v>12.059513000000001</v>
      </c>
      <c r="AJ109" s="64">
        <v>12.119298000000001</v>
      </c>
      <c r="AK109" s="62">
        <v>9.3620000000000005E-3</v>
      </c>
    </row>
    <row r="110" spans="1:37" s="9" customFormat="1" ht="15" customHeight="1">
      <c r="A110" s="60" t="s">
        <v>335</v>
      </c>
      <c r="B110" s="60"/>
      <c r="C110" s="64">
        <v>0.47439999999999999</v>
      </c>
      <c r="D110" s="64">
        <v>0.53410000000000002</v>
      </c>
      <c r="E110" s="64">
        <v>0.56169999999999998</v>
      </c>
      <c r="F110" s="64">
        <v>0.51243300000000003</v>
      </c>
      <c r="G110" s="64">
        <v>0.48030400000000001</v>
      </c>
      <c r="H110" s="64">
        <v>0.46878999999999998</v>
      </c>
      <c r="I110" s="64">
        <v>0.45962399999999998</v>
      </c>
      <c r="J110" s="64">
        <v>0.45963399999999999</v>
      </c>
      <c r="K110" s="64">
        <v>0.46260099999999998</v>
      </c>
      <c r="L110" s="64">
        <v>0.46488499999999999</v>
      </c>
      <c r="M110" s="64">
        <v>0.46390700000000001</v>
      </c>
      <c r="N110" s="64">
        <v>0.46733799999999998</v>
      </c>
      <c r="O110" s="64">
        <v>0.46665099999999998</v>
      </c>
      <c r="P110" s="64">
        <v>0.47016000000000002</v>
      </c>
      <c r="Q110" s="64">
        <v>0.473194</v>
      </c>
      <c r="R110" s="64">
        <v>0.47552800000000001</v>
      </c>
      <c r="S110" s="64">
        <v>0.47842299999999999</v>
      </c>
      <c r="T110" s="64">
        <v>0.48211500000000002</v>
      </c>
      <c r="U110" s="64">
        <v>0.48320200000000002</v>
      </c>
      <c r="V110" s="64">
        <v>0.484066</v>
      </c>
      <c r="W110" s="64">
        <v>0.48829400000000001</v>
      </c>
      <c r="X110" s="64">
        <v>0.48953799999999997</v>
      </c>
      <c r="Y110" s="64">
        <v>0.48846899999999999</v>
      </c>
      <c r="Z110" s="64">
        <v>0.48500700000000002</v>
      </c>
      <c r="AA110" s="64">
        <v>0.48389500000000002</v>
      </c>
      <c r="AB110" s="64">
        <v>0.48017300000000002</v>
      </c>
      <c r="AC110" s="64">
        <v>0.478016</v>
      </c>
      <c r="AD110" s="64">
        <v>0.47485500000000003</v>
      </c>
      <c r="AE110" s="64">
        <v>0.47470600000000002</v>
      </c>
      <c r="AF110" s="64">
        <v>0.47083199999999997</v>
      </c>
      <c r="AG110" s="64">
        <v>0.46945799999999999</v>
      </c>
      <c r="AH110" s="64">
        <v>0.46679100000000001</v>
      </c>
      <c r="AI110" s="64">
        <v>0.46476000000000001</v>
      </c>
      <c r="AJ110" s="64">
        <v>0.46199699999999999</v>
      </c>
      <c r="AK110" s="62">
        <v>-4.522E-3</v>
      </c>
    </row>
    <row r="111" spans="1:37" s="9" customFormat="1" ht="15" customHeight="1">
      <c r="A111" s="60" t="s">
        <v>55</v>
      </c>
      <c r="B111" s="60"/>
      <c r="C111" s="64">
        <v>0.61753199999999997</v>
      </c>
      <c r="D111" s="64">
        <v>0.56161700000000003</v>
      </c>
      <c r="E111" s="64">
        <v>0.54829399999999995</v>
      </c>
      <c r="F111" s="64">
        <v>0.56370799999999999</v>
      </c>
      <c r="G111" s="64">
        <v>0.57873399999999997</v>
      </c>
      <c r="H111" s="64">
        <v>0.58974599999999999</v>
      </c>
      <c r="I111" s="64">
        <v>0.59778799999999999</v>
      </c>
      <c r="J111" s="64">
        <v>0.60509100000000005</v>
      </c>
      <c r="K111" s="64">
        <v>0.60940700000000003</v>
      </c>
      <c r="L111" s="64">
        <v>0.60846699999999998</v>
      </c>
      <c r="M111" s="64">
        <v>0.60550000000000004</v>
      </c>
      <c r="N111" s="64">
        <v>0.60349799999999998</v>
      </c>
      <c r="O111" s="64">
        <v>0.599831</v>
      </c>
      <c r="P111" s="64">
        <v>0.592005</v>
      </c>
      <c r="Q111" s="64">
        <v>0.58486800000000005</v>
      </c>
      <c r="R111" s="64">
        <v>0.57698799999999995</v>
      </c>
      <c r="S111" s="64">
        <v>0.56964700000000001</v>
      </c>
      <c r="T111" s="64">
        <v>0.56336299999999995</v>
      </c>
      <c r="U111" s="64">
        <v>0.55598499999999995</v>
      </c>
      <c r="V111" s="64">
        <v>0.55402600000000002</v>
      </c>
      <c r="W111" s="64">
        <v>0.55297200000000002</v>
      </c>
      <c r="X111" s="64">
        <v>0.55160500000000001</v>
      </c>
      <c r="Y111" s="64">
        <v>0.54932499999999995</v>
      </c>
      <c r="Z111" s="64">
        <v>0.54740599999999995</v>
      </c>
      <c r="AA111" s="64">
        <v>0.54637999999999998</v>
      </c>
      <c r="AB111" s="64">
        <v>0.54451000000000005</v>
      </c>
      <c r="AC111" s="64">
        <v>0.54320599999999997</v>
      </c>
      <c r="AD111" s="64">
        <v>0.54232599999999997</v>
      </c>
      <c r="AE111" s="64">
        <v>0.542161</v>
      </c>
      <c r="AF111" s="64">
        <v>0.54118999999999995</v>
      </c>
      <c r="AG111" s="64">
        <v>0.54104200000000002</v>
      </c>
      <c r="AH111" s="64">
        <v>0.541045</v>
      </c>
      <c r="AI111" s="64">
        <v>0.54088199999999997</v>
      </c>
      <c r="AJ111" s="64">
        <v>0.54121799999999998</v>
      </c>
      <c r="AK111" s="62">
        <v>-1.155E-3</v>
      </c>
    </row>
    <row r="112" spans="1:37" s="9" customFormat="1" ht="15" customHeight="1">
      <c r="A112" s="60" t="s">
        <v>56</v>
      </c>
      <c r="B112" s="60"/>
      <c r="C112" s="64">
        <v>1.0919319999999999</v>
      </c>
      <c r="D112" s="64">
        <v>1.0957170000000001</v>
      </c>
      <c r="E112" s="64">
        <v>1.1099939999999999</v>
      </c>
      <c r="F112" s="64">
        <v>1.0761419999999999</v>
      </c>
      <c r="G112" s="64">
        <v>1.0590379999999999</v>
      </c>
      <c r="H112" s="64">
        <v>1.0585370000000001</v>
      </c>
      <c r="I112" s="64">
        <v>1.057412</v>
      </c>
      <c r="J112" s="64">
        <v>1.0647249999999999</v>
      </c>
      <c r="K112" s="64">
        <v>1.0720080000000001</v>
      </c>
      <c r="L112" s="64">
        <v>1.0733520000000001</v>
      </c>
      <c r="M112" s="64">
        <v>1.069407</v>
      </c>
      <c r="N112" s="64">
        <v>1.0708359999999999</v>
      </c>
      <c r="O112" s="64">
        <v>1.0664819999999999</v>
      </c>
      <c r="P112" s="64">
        <v>1.062165</v>
      </c>
      <c r="Q112" s="64">
        <v>1.0580620000000001</v>
      </c>
      <c r="R112" s="64">
        <v>1.052516</v>
      </c>
      <c r="S112" s="64">
        <v>1.0480700000000001</v>
      </c>
      <c r="T112" s="64">
        <v>1.0454779999999999</v>
      </c>
      <c r="U112" s="64">
        <v>1.0391870000000001</v>
      </c>
      <c r="V112" s="64">
        <v>1.0380929999999999</v>
      </c>
      <c r="W112" s="64">
        <v>1.041266</v>
      </c>
      <c r="X112" s="64">
        <v>1.041142</v>
      </c>
      <c r="Y112" s="64">
        <v>1.037793</v>
      </c>
      <c r="Z112" s="64">
        <v>1.032413</v>
      </c>
      <c r="AA112" s="64">
        <v>1.0302739999999999</v>
      </c>
      <c r="AB112" s="64">
        <v>1.0246820000000001</v>
      </c>
      <c r="AC112" s="64">
        <v>1.0212220000000001</v>
      </c>
      <c r="AD112" s="64">
        <v>1.0171809999999999</v>
      </c>
      <c r="AE112" s="64">
        <v>1.016866</v>
      </c>
      <c r="AF112" s="64">
        <v>1.012022</v>
      </c>
      <c r="AG112" s="64">
        <v>1.0105</v>
      </c>
      <c r="AH112" s="64">
        <v>1.007836</v>
      </c>
      <c r="AI112" s="64">
        <v>1.0056419999999999</v>
      </c>
      <c r="AJ112" s="64">
        <v>1.003215</v>
      </c>
      <c r="AK112" s="62">
        <v>-2.7520000000000001E-3</v>
      </c>
    </row>
    <row r="113" spans="1:37" s="9" customFormat="1" ht="15" customHeight="1">
      <c r="A113" s="60" t="s">
        <v>336</v>
      </c>
      <c r="B113" s="60"/>
      <c r="C113" s="64">
        <v>1.645724</v>
      </c>
      <c r="D113" s="64">
        <v>1.6372070000000001</v>
      </c>
      <c r="E113" s="64">
        <v>1.5788070000000001</v>
      </c>
      <c r="F113" s="64">
        <v>1.6148899999999999</v>
      </c>
      <c r="G113" s="64">
        <v>1.652601</v>
      </c>
      <c r="H113" s="64">
        <v>1.683052</v>
      </c>
      <c r="I113" s="64">
        <v>1.7153099999999999</v>
      </c>
      <c r="J113" s="64">
        <v>1.74841</v>
      </c>
      <c r="K113" s="64">
        <v>1.7841819999999999</v>
      </c>
      <c r="L113" s="64">
        <v>1.8130930000000001</v>
      </c>
      <c r="M113" s="64">
        <v>1.8319639999999999</v>
      </c>
      <c r="N113" s="64">
        <v>1.855602</v>
      </c>
      <c r="O113" s="64">
        <v>1.878374</v>
      </c>
      <c r="P113" s="64">
        <v>1.8951020000000001</v>
      </c>
      <c r="Q113" s="64">
        <v>1.9191549999999999</v>
      </c>
      <c r="R113" s="64">
        <v>1.942777</v>
      </c>
      <c r="S113" s="64">
        <v>1.9699949999999999</v>
      </c>
      <c r="T113" s="64">
        <v>2.005074</v>
      </c>
      <c r="U113" s="64">
        <v>2.0392320000000002</v>
      </c>
      <c r="V113" s="64">
        <v>2.0754999999999999</v>
      </c>
      <c r="W113" s="64">
        <v>2.1121059999999998</v>
      </c>
      <c r="X113" s="64">
        <v>2.14771</v>
      </c>
      <c r="Y113" s="64">
        <v>2.1763690000000002</v>
      </c>
      <c r="Z113" s="64">
        <v>2.2064539999999999</v>
      </c>
      <c r="AA113" s="64">
        <v>2.238407</v>
      </c>
      <c r="AB113" s="64">
        <v>2.2667630000000001</v>
      </c>
      <c r="AC113" s="64">
        <v>2.29358</v>
      </c>
      <c r="AD113" s="64">
        <v>2.326085</v>
      </c>
      <c r="AE113" s="64">
        <v>2.360312</v>
      </c>
      <c r="AF113" s="64">
        <v>2.3952650000000002</v>
      </c>
      <c r="AG113" s="64">
        <v>2.4304290000000002</v>
      </c>
      <c r="AH113" s="64">
        <v>2.463975</v>
      </c>
      <c r="AI113" s="64">
        <v>2.4944060000000001</v>
      </c>
      <c r="AJ113" s="64">
        <v>2.5254989999999999</v>
      </c>
      <c r="AK113" s="62">
        <v>1.3637E-2</v>
      </c>
    </row>
    <row r="114" spans="1:37" s="9" customFormat="1" ht="15" customHeight="1">
      <c r="A114" s="60" t="s">
        <v>337</v>
      </c>
      <c r="B114" s="60"/>
      <c r="C114" s="64">
        <v>3.026599</v>
      </c>
      <c r="D114" s="64">
        <v>3.035399</v>
      </c>
      <c r="E114" s="64">
        <v>3.0666989999999998</v>
      </c>
      <c r="F114" s="64">
        <v>3.1631140000000002</v>
      </c>
      <c r="G114" s="64">
        <v>3.2519429999999998</v>
      </c>
      <c r="H114" s="64">
        <v>3.3150050000000002</v>
      </c>
      <c r="I114" s="64">
        <v>3.3705620000000001</v>
      </c>
      <c r="J114" s="64">
        <v>3.4288189999999998</v>
      </c>
      <c r="K114" s="64">
        <v>3.4850759999999998</v>
      </c>
      <c r="L114" s="64">
        <v>3.529852</v>
      </c>
      <c r="M114" s="64">
        <v>3.572435</v>
      </c>
      <c r="N114" s="64">
        <v>3.6151360000000001</v>
      </c>
      <c r="O114" s="64">
        <v>3.653311</v>
      </c>
      <c r="P114" s="64">
        <v>3.6674869999999999</v>
      </c>
      <c r="Q114" s="64">
        <v>3.689282</v>
      </c>
      <c r="R114" s="64">
        <v>3.7066720000000002</v>
      </c>
      <c r="S114" s="64">
        <v>3.724116</v>
      </c>
      <c r="T114" s="64">
        <v>3.739268</v>
      </c>
      <c r="U114" s="64">
        <v>3.7616879999999999</v>
      </c>
      <c r="V114" s="64">
        <v>3.7864239999999998</v>
      </c>
      <c r="W114" s="64">
        <v>3.8091979999999999</v>
      </c>
      <c r="X114" s="64">
        <v>3.838492</v>
      </c>
      <c r="Y114" s="64">
        <v>3.8606419999999999</v>
      </c>
      <c r="Z114" s="64">
        <v>3.8806120000000002</v>
      </c>
      <c r="AA114" s="64">
        <v>3.8990589999999998</v>
      </c>
      <c r="AB114" s="64">
        <v>3.9194939999999998</v>
      </c>
      <c r="AC114" s="64">
        <v>3.9340480000000002</v>
      </c>
      <c r="AD114" s="64">
        <v>3.956026</v>
      </c>
      <c r="AE114" s="64">
        <v>3.9797769999999999</v>
      </c>
      <c r="AF114" s="64">
        <v>4.0083440000000001</v>
      </c>
      <c r="AG114" s="64">
        <v>4.0326550000000001</v>
      </c>
      <c r="AH114" s="64">
        <v>4.0597909999999997</v>
      </c>
      <c r="AI114" s="64">
        <v>4.0805280000000002</v>
      </c>
      <c r="AJ114" s="64">
        <v>4.104438</v>
      </c>
      <c r="AK114" s="62">
        <v>9.4739999999999998E-3</v>
      </c>
    </row>
    <row r="115" spans="1:37" s="9" customFormat="1" ht="15" customHeight="1">
      <c r="A115" s="59" t="s">
        <v>57</v>
      </c>
      <c r="B115" s="59"/>
      <c r="C115" s="71">
        <v>20.581855999999998</v>
      </c>
      <c r="D115" s="71">
        <v>21.449000999999999</v>
      </c>
      <c r="E115" s="71">
        <v>21.866897999999999</v>
      </c>
      <c r="F115" s="71">
        <v>22.241785</v>
      </c>
      <c r="G115" s="71">
        <v>22.873787</v>
      </c>
      <c r="H115" s="71">
        <v>23.318497000000001</v>
      </c>
      <c r="I115" s="71">
        <v>23.700001</v>
      </c>
      <c r="J115" s="71">
        <v>24.12163</v>
      </c>
      <c r="K115" s="71">
        <v>24.454841999999999</v>
      </c>
      <c r="L115" s="71">
        <v>24.765877</v>
      </c>
      <c r="M115" s="71">
        <v>25.111861999999999</v>
      </c>
      <c r="N115" s="71">
        <v>25.379715000000001</v>
      </c>
      <c r="O115" s="71">
        <v>25.647226</v>
      </c>
      <c r="P115" s="71">
        <v>25.790956000000001</v>
      </c>
      <c r="Q115" s="71">
        <v>26.00441</v>
      </c>
      <c r="R115" s="71">
        <v>26.190010000000001</v>
      </c>
      <c r="S115" s="71">
        <v>26.339514000000001</v>
      </c>
      <c r="T115" s="71">
        <v>26.434291999999999</v>
      </c>
      <c r="U115" s="71">
        <v>26.605685999999999</v>
      </c>
      <c r="V115" s="71">
        <v>26.832851000000002</v>
      </c>
      <c r="W115" s="71">
        <v>27.001895999999999</v>
      </c>
      <c r="X115" s="71">
        <v>27.283062000000001</v>
      </c>
      <c r="Y115" s="71">
        <v>27.476299000000001</v>
      </c>
      <c r="Z115" s="71">
        <v>27.644355999999998</v>
      </c>
      <c r="AA115" s="71">
        <v>27.825581</v>
      </c>
      <c r="AB115" s="71">
        <v>28.016971999999999</v>
      </c>
      <c r="AC115" s="71">
        <v>28.106745</v>
      </c>
      <c r="AD115" s="71">
        <v>28.292933000000001</v>
      </c>
      <c r="AE115" s="71">
        <v>28.461490999999999</v>
      </c>
      <c r="AF115" s="71">
        <v>28.655944999999999</v>
      </c>
      <c r="AG115" s="71">
        <v>28.846764</v>
      </c>
      <c r="AH115" s="71">
        <v>29.09572</v>
      </c>
      <c r="AI115" s="71">
        <v>29.232655000000001</v>
      </c>
      <c r="AJ115" s="71">
        <v>29.441783999999998</v>
      </c>
      <c r="AK115" s="66">
        <v>9.9469999999999992E-3</v>
      </c>
    </row>
    <row r="116" spans="1:37" s="9" customFormat="1" ht="15" customHeight="1">
      <c r="A116" s="60" t="s">
        <v>58</v>
      </c>
      <c r="B116" s="60"/>
      <c r="C116" s="64">
        <v>5.9662170000000003</v>
      </c>
      <c r="D116" s="64">
        <v>5.907546</v>
      </c>
      <c r="E116" s="64">
        <v>5.9017439999999999</v>
      </c>
      <c r="F116" s="64">
        <v>6.0078259999999997</v>
      </c>
      <c r="G116" s="64">
        <v>6.04575</v>
      </c>
      <c r="H116" s="64">
        <v>6.0443759999999997</v>
      </c>
      <c r="I116" s="64">
        <v>6.0469099999999996</v>
      </c>
      <c r="J116" s="64">
        <v>6.0985199999999997</v>
      </c>
      <c r="K116" s="64">
        <v>6.119872</v>
      </c>
      <c r="L116" s="64">
        <v>6.1287900000000004</v>
      </c>
      <c r="M116" s="64">
        <v>6.1445460000000001</v>
      </c>
      <c r="N116" s="64">
        <v>6.168374</v>
      </c>
      <c r="O116" s="64">
        <v>6.2107929999999998</v>
      </c>
      <c r="P116" s="64">
        <v>6.2025030000000001</v>
      </c>
      <c r="Q116" s="64">
        <v>6.1975600000000002</v>
      </c>
      <c r="R116" s="64">
        <v>6.15313</v>
      </c>
      <c r="S116" s="64">
        <v>6.1425590000000003</v>
      </c>
      <c r="T116" s="64">
        <v>6.1194199999999999</v>
      </c>
      <c r="U116" s="64">
        <v>6.1260810000000001</v>
      </c>
      <c r="V116" s="64">
        <v>6.1462719999999997</v>
      </c>
      <c r="W116" s="64">
        <v>6.1499959999999998</v>
      </c>
      <c r="X116" s="64">
        <v>6.1694620000000002</v>
      </c>
      <c r="Y116" s="64">
        <v>6.1826869999999996</v>
      </c>
      <c r="Z116" s="64">
        <v>6.1891829999999999</v>
      </c>
      <c r="AA116" s="64">
        <v>6.1898650000000002</v>
      </c>
      <c r="AB116" s="64">
        <v>6.1915480000000001</v>
      </c>
      <c r="AC116" s="64">
        <v>6.1867590000000003</v>
      </c>
      <c r="AD116" s="64">
        <v>6.1949759999999996</v>
      </c>
      <c r="AE116" s="64">
        <v>6.2063170000000003</v>
      </c>
      <c r="AF116" s="64">
        <v>6.2280620000000004</v>
      </c>
      <c r="AG116" s="64">
        <v>6.2516470000000002</v>
      </c>
      <c r="AH116" s="64">
        <v>6.2743890000000002</v>
      </c>
      <c r="AI116" s="64">
        <v>6.291906</v>
      </c>
      <c r="AJ116" s="64">
        <v>6.3091600000000003</v>
      </c>
      <c r="AK116" s="62">
        <v>2.0569999999999998E-3</v>
      </c>
    </row>
    <row r="117" spans="1:37">
      <c r="A117" s="59" t="s">
        <v>59</v>
      </c>
      <c r="B117" s="59"/>
      <c r="C117" s="71">
        <v>26.548072999999999</v>
      </c>
      <c r="D117" s="71">
        <v>27.356548</v>
      </c>
      <c r="E117" s="71">
        <v>27.768642</v>
      </c>
      <c r="F117" s="71">
        <v>28.249611000000002</v>
      </c>
      <c r="G117" s="71">
        <v>28.919536999999998</v>
      </c>
      <c r="H117" s="71">
        <v>29.362873</v>
      </c>
      <c r="I117" s="71">
        <v>29.74691</v>
      </c>
      <c r="J117" s="71">
        <v>30.22015</v>
      </c>
      <c r="K117" s="71">
        <v>30.574712999999999</v>
      </c>
      <c r="L117" s="71">
        <v>30.894666999999998</v>
      </c>
      <c r="M117" s="71">
        <v>31.256409000000001</v>
      </c>
      <c r="N117" s="71">
        <v>31.548088</v>
      </c>
      <c r="O117" s="71">
        <v>31.858018999999999</v>
      </c>
      <c r="P117" s="71">
        <v>31.993459999999999</v>
      </c>
      <c r="Q117" s="71">
        <v>32.201968999999998</v>
      </c>
      <c r="R117" s="71">
        <v>32.343139999999998</v>
      </c>
      <c r="S117" s="71">
        <v>32.482070999999998</v>
      </c>
      <c r="T117" s="71">
        <v>32.553711</v>
      </c>
      <c r="U117" s="71">
        <v>32.731766</v>
      </c>
      <c r="V117" s="71">
        <v>32.979121999999997</v>
      </c>
      <c r="W117" s="71">
        <v>33.151893999999999</v>
      </c>
      <c r="X117" s="71">
        <v>33.452522000000002</v>
      </c>
      <c r="Y117" s="71">
        <v>33.658985000000001</v>
      </c>
      <c r="Z117" s="71">
        <v>33.833537999999997</v>
      </c>
      <c r="AA117" s="71">
        <v>34.015445999999997</v>
      </c>
      <c r="AB117" s="71">
        <v>34.208519000000003</v>
      </c>
      <c r="AC117" s="71">
        <v>34.293503000000001</v>
      </c>
      <c r="AD117" s="71">
        <v>34.487907</v>
      </c>
      <c r="AE117" s="71">
        <v>34.667808999999998</v>
      </c>
      <c r="AF117" s="71">
        <v>34.884006999999997</v>
      </c>
      <c r="AG117" s="71">
        <v>35.098412000000003</v>
      </c>
      <c r="AH117" s="71">
        <v>35.370109999999997</v>
      </c>
      <c r="AI117" s="71">
        <v>35.524559000000004</v>
      </c>
      <c r="AJ117" s="71">
        <v>35.750942000000002</v>
      </c>
      <c r="AK117" s="66">
        <v>8.3979999999999992E-3</v>
      </c>
    </row>
    <row r="118" spans="1:37" s="5" customFormat="1"/>
    <row r="119" spans="1:37" s="80" customFormat="1">
      <c r="A119" s="80" t="s">
        <v>495</v>
      </c>
    </row>
    <row r="120" spans="1:37" s="5" customFormat="1">
      <c r="A120" s="12" t="s">
        <v>324</v>
      </c>
      <c r="B120" s="68"/>
      <c r="C120" s="81">
        <f>Refineries!C105/10^15</f>
        <v>36.920673808477027</v>
      </c>
      <c r="D120" s="81">
        <f>Refineries!D105/10^15</f>
        <v>37.702142160286442</v>
      </c>
      <c r="E120" s="81">
        <f>Refineries!E105/10^15</f>
        <v>38.329111730387659</v>
      </c>
      <c r="F120" s="81">
        <f>Refineries!F105/10^15</f>
        <v>39.449717721707387</v>
      </c>
      <c r="G120" s="81">
        <f>Refineries!G105/10^15</f>
        <v>38.640888432695107</v>
      </c>
      <c r="H120" s="81">
        <f>Refineries!H105/10^15</f>
        <v>38.716832647376542</v>
      </c>
      <c r="I120" s="81">
        <f>Refineries!I105/10^15</f>
        <v>38.524459738046517</v>
      </c>
      <c r="J120" s="81">
        <f>Refineries!J105/10^15</f>
        <v>38.286953175073137</v>
      </c>
      <c r="K120" s="81">
        <f>Refineries!K105/10^15</f>
        <v>37.722902463692691</v>
      </c>
      <c r="L120" s="81">
        <f>Refineries!L105/10^15</f>
        <v>37.389407458097565</v>
      </c>
      <c r="M120" s="81">
        <f>Refineries!M105/10^15</f>
        <v>37.414441063674488</v>
      </c>
      <c r="N120" s="81">
        <f>Refineries!N105/10^15</f>
        <v>37.501457494059203</v>
      </c>
      <c r="O120" s="81">
        <f>Refineries!O105/10^15</f>
        <v>37.416143868704019</v>
      </c>
      <c r="P120" s="81">
        <f>Refineries!P105/10^15</f>
        <v>37.329124896271537</v>
      </c>
      <c r="Q120" s="81">
        <f>Refineries!Q105/10^15</f>
        <v>37.374502036084536</v>
      </c>
      <c r="R120" s="81">
        <f>Refineries!R105/10^15</f>
        <v>37.321180936259843</v>
      </c>
      <c r="S120" s="81">
        <f>Refineries!S105/10^15</f>
        <v>37.131862767953159</v>
      </c>
      <c r="T120" s="81">
        <f>Refineries!T105/10^15</f>
        <v>37.156873927178559</v>
      </c>
      <c r="U120" s="81">
        <f>Refineries!U105/10^15</f>
        <v>37.154787798568307</v>
      </c>
      <c r="V120" s="81">
        <f>Refineries!V105/10^15</f>
        <v>37.137048426264762</v>
      </c>
      <c r="W120" s="81">
        <f>Refineries!W105/10^15</f>
        <v>37.311968978193327</v>
      </c>
      <c r="X120" s="81">
        <f>Refineries!X105/10^15</f>
        <v>37.349633727293536</v>
      </c>
      <c r="Y120" s="81">
        <f>Refineries!Y105/10^15</f>
        <v>37.19251007766912</v>
      </c>
      <c r="Z120" s="81">
        <f>Refineries!Z105/10^15</f>
        <v>37.193107986931921</v>
      </c>
      <c r="AA120" s="81">
        <f>Refineries!AA105/10^15</f>
        <v>37.252277080089549</v>
      </c>
      <c r="AB120" s="81">
        <f>Refineries!AB105/10^15</f>
        <v>37.401760139637076</v>
      </c>
      <c r="AC120" s="81">
        <f>Refineries!AC105/10^15</f>
        <v>37.402733752997882</v>
      </c>
      <c r="AD120" s="81">
        <f>Refineries!AD105/10^15</f>
        <v>37.563940181665814</v>
      </c>
      <c r="AE120" s="81">
        <f>Refineries!AE105/10^15</f>
        <v>37.641433975209374</v>
      </c>
      <c r="AF120" s="81">
        <f>Refineries!AF105/10^15</f>
        <v>37.845322307668262</v>
      </c>
      <c r="AG120" s="81">
        <f>Refineries!AG105/10^15</f>
        <v>37.842558521428607</v>
      </c>
      <c r="AH120" s="81">
        <f>Refineries!AH105/10^15</f>
        <v>37.908746417997101</v>
      </c>
      <c r="AI120" s="81">
        <f>Refineries!AI105/10^15</f>
        <v>37.674722114617744</v>
      </c>
      <c r="AJ120" s="81">
        <f>Refineries!AJ105/10^15</f>
        <v>37.69903347553624</v>
      </c>
    </row>
    <row r="121" spans="1:37" s="9" customFormat="1" ht="15" customHeight="1">
      <c r="A121" s="60" t="s">
        <v>325</v>
      </c>
      <c r="B121" s="60" t="str">
        <f>B95</f>
        <v>LPG/propane/butane</v>
      </c>
      <c r="C121" s="64">
        <f>C95</f>
        <v>0.439772</v>
      </c>
      <c r="D121" s="64">
        <f t="shared" ref="D121:AJ129" si="1">D95</f>
        <v>0.52067200000000002</v>
      </c>
      <c r="E121" s="64">
        <f t="shared" si="1"/>
        <v>0.44447199999999998</v>
      </c>
      <c r="F121" s="64">
        <f t="shared" si="1"/>
        <v>0.19968</v>
      </c>
      <c r="G121" s="64">
        <f t="shared" si="1"/>
        <v>0.19961200000000001</v>
      </c>
      <c r="H121" s="64">
        <f t="shared" si="1"/>
        <v>0.19977400000000001</v>
      </c>
      <c r="I121" s="64">
        <f t="shared" si="1"/>
        <v>0.19994300000000001</v>
      </c>
      <c r="J121" s="64">
        <f t="shared" si="1"/>
        <v>0.19985</v>
      </c>
      <c r="K121" s="64">
        <f t="shared" si="1"/>
        <v>0.20059399999999999</v>
      </c>
      <c r="L121" s="64">
        <f t="shared" si="1"/>
        <v>0.20139299999999999</v>
      </c>
      <c r="M121" s="64">
        <f t="shared" si="1"/>
        <v>0.201958</v>
      </c>
      <c r="N121" s="64">
        <f t="shared" si="1"/>
        <v>0.20313100000000001</v>
      </c>
      <c r="O121" s="64">
        <f t="shared" si="1"/>
        <v>0.20412</v>
      </c>
      <c r="P121" s="64">
        <f t="shared" si="1"/>
        <v>0.20505200000000001</v>
      </c>
      <c r="Q121" s="64">
        <f t="shared" si="1"/>
        <v>0.20644199999999999</v>
      </c>
      <c r="R121" s="64">
        <f t="shared" si="1"/>
        <v>0.208231</v>
      </c>
      <c r="S121" s="64">
        <f t="shared" si="1"/>
        <v>0.20915900000000001</v>
      </c>
      <c r="T121" s="64">
        <f t="shared" si="1"/>
        <v>0.210535</v>
      </c>
      <c r="U121" s="64">
        <f t="shared" si="1"/>
        <v>0.212064</v>
      </c>
      <c r="V121" s="64">
        <f t="shared" si="1"/>
        <v>0.213366</v>
      </c>
      <c r="W121" s="64">
        <f t="shared" si="1"/>
        <v>0.21501300000000001</v>
      </c>
      <c r="X121" s="64">
        <f t="shared" si="1"/>
        <v>0.21679699999999999</v>
      </c>
      <c r="Y121" s="64">
        <f t="shared" si="1"/>
        <v>0.218144</v>
      </c>
      <c r="Z121" s="64">
        <f t="shared" si="1"/>
        <v>0.219636</v>
      </c>
      <c r="AA121" s="64">
        <f t="shared" si="1"/>
        <v>0.221191</v>
      </c>
      <c r="AB121" s="64">
        <f t="shared" si="1"/>
        <v>0.222553</v>
      </c>
      <c r="AC121" s="64">
        <f t="shared" si="1"/>
        <v>0.22416</v>
      </c>
      <c r="AD121" s="64">
        <f t="shared" si="1"/>
        <v>0.226054</v>
      </c>
      <c r="AE121" s="64">
        <f t="shared" si="1"/>
        <v>0.227992</v>
      </c>
      <c r="AF121" s="64">
        <f t="shared" si="1"/>
        <v>0.23014399999999999</v>
      </c>
      <c r="AG121" s="64">
        <f t="shared" si="1"/>
        <v>0.23227400000000001</v>
      </c>
      <c r="AH121" s="64">
        <f t="shared" si="1"/>
        <v>0.23442199999999999</v>
      </c>
      <c r="AI121" s="64">
        <f t="shared" si="1"/>
        <v>0.236372</v>
      </c>
      <c r="AJ121" s="64">
        <f t="shared" si="1"/>
        <v>0.23841300000000001</v>
      </c>
      <c r="AK121" s="62"/>
    </row>
    <row r="122" spans="1:37" s="9" customFormat="1" ht="15" customHeight="1">
      <c r="A122" s="60" t="s">
        <v>326</v>
      </c>
      <c r="B122" s="60" t="str">
        <f t="shared" ref="B122:B129" si="2">B96</f>
        <v>LPG/propane/butane</v>
      </c>
      <c r="C122" s="64">
        <f t="shared" ref="C122:R122" si="3">C96</f>
        <v>2.3506</v>
      </c>
      <c r="D122" s="64">
        <f t="shared" si="3"/>
        <v>2.5752999999999999</v>
      </c>
      <c r="E122" s="64">
        <f t="shared" si="3"/>
        <v>2.7801999999999998</v>
      </c>
      <c r="F122" s="64">
        <f t="shared" si="3"/>
        <v>2.9331</v>
      </c>
      <c r="G122" s="64">
        <f t="shared" si="3"/>
        <v>3.1452</v>
      </c>
      <c r="H122" s="64">
        <f t="shared" si="3"/>
        <v>3.239655</v>
      </c>
      <c r="I122" s="64">
        <f t="shared" si="3"/>
        <v>3.3009840000000001</v>
      </c>
      <c r="J122" s="64">
        <f t="shared" si="3"/>
        <v>3.3742209999999999</v>
      </c>
      <c r="K122" s="64">
        <f t="shared" si="3"/>
        <v>3.4241670000000002</v>
      </c>
      <c r="L122" s="64">
        <f t="shared" si="3"/>
        <v>3.4581080000000002</v>
      </c>
      <c r="M122" s="64">
        <f t="shared" si="3"/>
        <v>3.5395099999999999</v>
      </c>
      <c r="N122" s="64">
        <f t="shared" si="3"/>
        <v>3.5844140000000002</v>
      </c>
      <c r="O122" s="64">
        <f t="shared" si="3"/>
        <v>3.649616</v>
      </c>
      <c r="P122" s="64">
        <f t="shared" si="3"/>
        <v>3.6760510000000002</v>
      </c>
      <c r="Q122" s="64">
        <f t="shared" si="3"/>
        <v>3.721457</v>
      </c>
      <c r="R122" s="64">
        <f t="shared" si="3"/>
        <v>3.7670729999999999</v>
      </c>
      <c r="S122" s="64">
        <f t="shared" si="1"/>
        <v>3.8010090000000001</v>
      </c>
      <c r="T122" s="64">
        <f t="shared" si="1"/>
        <v>3.794006</v>
      </c>
      <c r="U122" s="64">
        <f t="shared" si="1"/>
        <v>3.8187700000000002</v>
      </c>
      <c r="V122" s="64">
        <f t="shared" si="1"/>
        <v>3.8547539999999998</v>
      </c>
      <c r="W122" s="64">
        <f t="shared" si="1"/>
        <v>3.8642080000000001</v>
      </c>
      <c r="X122" s="64">
        <f t="shared" si="1"/>
        <v>3.9172690000000001</v>
      </c>
      <c r="Y122" s="64">
        <f t="shared" si="1"/>
        <v>3.9433720000000001</v>
      </c>
      <c r="Z122" s="64">
        <f t="shared" si="1"/>
        <v>3.9567410000000001</v>
      </c>
      <c r="AA122" s="64">
        <f t="shared" si="1"/>
        <v>3.984451</v>
      </c>
      <c r="AB122" s="64">
        <f t="shared" si="1"/>
        <v>4.0168059999999999</v>
      </c>
      <c r="AC122" s="64">
        <f t="shared" si="1"/>
        <v>4.009512</v>
      </c>
      <c r="AD122" s="64">
        <f t="shared" si="1"/>
        <v>4.034332</v>
      </c>
      <c r="AE122" s="64">
        <f t="shared" si="1"/>
        <v>4.0472320000000002</v>
      </c>
      <c r="AF122" s="64">
        <f t="shared" si="1"/>
        <v>4.0707820000000003</v>
      </c>
      <c r="AG122" s="64">
        <f t="shared" si="1"/>
        <v>4.0935550000000003</v>
      </c>
      <c r="AH122" s="64">
        <f t="shared" si="1"/>
        <v>4.1407959999999999</v>
      </c>
      <c r="AI122" s="64">
        <f t="shared" si="1"/>
        <v>4.1461370000000004</v>
      </c>
      <c r="AJ122" s="64">
        <f t="shared" si="1"/>
        <v>4.1715900000000001</v>
      </c>
      <c r="AK122" s="62"/>
    </row>
    <row r="123" spans="1:37" s="9" customFormat="1" ht="15" customHeight="1">
      <c r="A123" s="60" t="s">
        <v>327</v>
      </c>
      <c r="B123" s="60" t="str">
        <f t="shared" si="2"/>
        <v>Petroleum Diesel</v>
      </c>
      <c r="C123" s="64">
        <f>C97+'Pipelines &amp; Military'!C66/10^3</f>
        <v>0.67348094499999989</v>
      </c>
      <c r="D123" s="64">
        <f>D97+'Pipelines &amp; Military'!D66/10^3</f>
        <v>0.69107706300000005</v>
      </c>
      <c r="E123" s="64">
        <f>E97+'Pipelines &amp; Military'!E66/10^3</f>
        <v>0.70885524899999997</v>
      </c>
      <c r="F123" s="64">
        <f>F97+'Pipelines &amp; Military'!F66/10^3</f>
        <v>0.72007504700000002</v>
      </c>
      <c r="G123" s="64">
        <f>G97+'Pipelines &amp; Military'!G66/10^3</f>
        <v>0.72234591300000006</v>
      </c>
      <c r="H123" s="64">
        <f>H97+'Pipelines &amp; Military'!H66/10^3</f>
        <v>0.72235349500000001</v>
      </c>
      <c r="I123" s="64">
        <f>I97+'Pipelines &amp; Military'!I66/10^3</f>
        <v>0.71311561300000004</v>
      </c>
      <c r="J123" s="64">
        <f>J97+'Pipelines &amp; Military'!J66/10^3</f>
        <v>0.70819485199999999</v>
      </c>
      <c r="K123" s="64">
        <f>K97+'Pipelines &amp; Military'!K66/10^3</f>
        <v>0.71056931199999995</v>
      </c>
      <c r="L123" s="64">
        <f>L97+'Pipelines &amp; Military'!L66/10^3</f>
        <v>0.71313208699999997</v>
      </c>
      <c r="M123" s="64">
        <f>M97+'Pipelines &amp; Military'!M66/10^3</f>
        <v>0.71542305300000009</v>
      </c>
      <c r="N123" s="64">
        <f>N97+'Pipelines &amp; Military'!N66/10^3</f>
        <v>0.72017563200000001</v>
      </c>
      <c r="O123" s="64">
        <f>O97+'Pipelines &amp; Military'!O66/10^3</f>
        <v>0.72274797999999996</v>
      </c>
      <c r="P123" s="64">
        <f>P97+'Pipelines &amp; Military'!P66/10^3</f>
        <v>0.72401056999999991</v>
      </c>
      <c r="Q123" s="64">
        <f>Q97+'Pipelines &amp; Military'!Q66/10^3</f>
        <v>0.72598984499999997</v>
      </c>
      <c r="R123" s="64">
        <f>R97+'Pipelines &amp; Military'!R66/10^3</f>
        <v>0.72810942199999995</v>
      </c>
      <c r="S123" s="64">
        <f>S97+'Pipelines &amp; Military'!S66/10^3</f>
        <v>0.729659956</v>
      </c>
      <c r="T123" s="64">
        <f>T97+'Pipelines &amp; Military'!T66/10^3</f>
        <v>0.73143015600000005</v>
      </c>
      <c r="U123" s="64">
        <f>U97+'Pipelines &amp; Military'!U66/10^3</f>
        <v>0.73319840199999997</v>
      </c>
      <c r="V123" s="64">
        <f>V97+'Pipelines &amp; Military'!V66/10^3</f>
        <v>0.73508730300000003</v>
      </c>
      <c r="W123" s="64">
        <f>W97+'Pipelines &amp; Military'!W66/10^3</f>
        <v>0.73712501799999997</v>
      </c>
      <c r="X123" s="64">
        <f>X97+'Pipelines &amp; Military'!X66/10^3</f>
        <v>0.73941551699999997</v>
      </c>
      <c r="Y123" s="64">
        <f>Y97+'Pipelines &amp; Military'!Y66/10^3</f>
        <v>0.74137940300000005</v>
      </c>
      <c r="Z123" s="64">
        <f>Z97+'Pipelines &amp; Military'!Z66/10^3</f>
        <v>0.74325452299999994</v>
      </c>
      <c r="AA123" s="64">
        <f>AA97+'Pipelines &amp; Military'!AA66/10^3</f>
        <v>0.74503448100000003</v>
      </c>
      <c r="AB123" s="64">
        <f>AB97+'Pipelines &amp; Military'!AB66/10^3</f>
        <v>0.74690706200000001</v>
      </c>
      <c r="AC123" s="64">
        <f>AC97+'Pipelines &amp; Military'!AC66/10^3</f>
        <v>0.74865599399999994</v>
      </c>
      <c r="AD123" s="64">
        <f>AD97+'Pipelines &amp; Military'!AD66/10^3</f>
        <v>0.75067793800000004</v>
      </c>
      <c r="AE123" s="64">
        <f>AE97+'Pipelines &amp; Military'!AE66/10^3</f>
        <v>0.75273071399999991</v>
      </c>
      <c r="AF123" s="64">
        <f>AF97+'Pipelines &amp; Military'!AF66/10^3</f>
        <v>0.754895015</v>
      </c>
      <c r="AG123" s="64">
        <f>AG97+'Pipelines &amp; Military'!AG66/10^3</f>
        <v>0.75705156600000001</v>
      </c>
      <c r="AH123" s="64">
        <f>AH97+'Pipelines &amp; Military'!AH66/10^3</f>
        <v>0.75937818500000009</v>
      </c>
      <c r="AI123" s="64">
        <f>AI97+'Pipelines &amp; Military'!AI66/10^3</f>
        <v>0.76099821200000006</v>
      </c>
      <c r="AJ123" s="64">
        <f>AJ97+'Pipelines &amp; Military'!AJ66/10^3</f>
        <v>0.762763152</v>
      </c>
      <c r="AK123" s="62"/>
    </row>
    <row r="124" spans="1:37" s="9" customFormat="1" ht="15" customHeight="1">
      <c r="A124" s="60" t="s">
        <v>51</v>
      </c>
      <c r="B124" s="60" t="str">
        <f t="shared" si="2"/>
        <v>Petroleum Diesel</v>
      </c>
      <c r="C124" s="64">
        <f>C98+'Pipelines &amp; Military'!C68/10^3</f>
        <v>1.268046593</v>
      </c>
      <c r="D124" s="64">
        <f>D98+'Pipelines &amp; Military'!D68/10^3</f>
        <v>1.3320022650000001</v>
      </c>
      <c r="E124" s="64">
        <f>E98+'Pipelines &amp; Military'!E68/10^3</f>
        <v>1.3453769959999999</v>
      </c>
      <c r="F124" s="64">
        <f>F98+'Pipelines &amp; Military'!F68/10^3</f>
        <v>1.3604089700000002</v>
      </c>
      <c r="G124" s="64">
        <f>G98+'Pipelines &amp; Military'!G68/10^3</f>
        <v>1.363707164</v>
      </c>
      <c r="H124" s="64">
        <f>H98+'Pipelines &amp; Military'!H68/10^3</f>
        <v>1.371086504</v>
      </c>
      <c r="I124" s="64">
        <f>I98+'Pipelines &amp; Military'!I68/10^3</f>
        <v>1.3720540019999998</v>
      </c>
      <c r="J124" s="64">
        <f>J98+'Pipelines &amp; Military'!J68/10^3</f>
        <v>1.3736472310000001</v>
      </c>
      <c r="K124" s="64">
        <f>K98+'Pipelines &amp; Military'!K68/10^3</f>
        <v>1.377935635</v>
      </c>
      <c r="L124" s="64">
        <f>L98+'Pipelines &amp; Military'!L68/10^3</f>
        <v>1.3846616999999999</v>
      </c>
      <c r="M124" s="64">
        <f>M98+'Pipelines &amp; Military'!M68/10^3</f>
        <v>1.3889325370000001</v>
      </c>
      <c r="N124" s="64">
        <f>N98+'Pipelines &amp; Military'!N68/10^3</f>
        <v>1.3957062060000001</v>
      </c>
      <c r="O124" s="64">
        <f>O98+'Pipelines &amp; Military'!O68/10^3</f>
        <v>1.4011240299999999</v>
      </c>
      <c r="P124" s="64">
        <f>P98+'Pipelines &amp; Military'!P68/10^3</f>
        <v>1.406829079</v>
      </c>
      <c r="Q124" s="64">
        <f>Q98+'Pipelines &amp; Military'!Q68/10^3</f>
        <v>1.415673154</v>
      </c>
      <c r="R124" s="64">
        <f>R98+'Pipelines &amp; Military'!R68/10^3</f>
        <v>1.423787736</v>
      </c>
      <c r="S124" s="64">
        <f>S98+'Pipelines &amp; Military'!S68/10^3</f>
        <v>1.431039443</v>
      </c>
      <c r="T124" s="64">
        <f>T98+'Pipelines &amp; Military'!T68/10^3</f>
        <v>1.4399297709999999</v>
      </c>
      <c r="U124" s="64">
        <f>U98+'Pipelines &amp; Military'!U68/10^3</f>
        <v>1.450585276</v>
      </c>
      <c r="V124" s="64">
        <f>V98+'Pipelines &amp; Military'!V68/10^3</f>
        <v>1.460846149</v>
      </c>
      <c r="W124" s="64">
        <f>W98+'Pipelines &amp; Military'!W68/10^3</f>
        <v>1.470578696</v>
      </c>
      <c r="X124" s="64">
        <f>X98+'Pipelines &amp; Military'!X68/10^3</f>
        <v>1.4829628689999999</v>
      </c>
      <c r="Y124" s="64">
        <f>Y98+'Pipelines &amp; Military'!Y68/10^3</f>
        <v>1.492382616</v>
      </c>
      <c r="Z124" s="64">
        <f>Z98+'Pipelines &amp; Military'!Z68/10^3</f>
        <v>1.5031318769999999</v>
      </c>
      <c r="AA124" s="64">
        <f>AA98+'Pipelines &amp; Military'!AA68/10^3</f>
        <v>1.5158325349999999</v>
      </c>
      <c r="AB124" s="64">
        <f>AB98+'Pipelines &amp; Military'!AB68/10^3</f>
        <v>1.5267865540000001</v>
      </c>
      <c r="AC124" s="64">
        <f>AC98+'Pipelines &amp; Military'!AC68/10^3</f>
        <v>1.5375048790000001</v>
      </c>
      <c r="AD124" s="64">
        <f>AD98+'Pipelines &amp; Military'!AD68/10^3</f>
        <v>1.5512853820000001</v>
      </c>
      <c r="AE124" s="64">
        <f>AE98+'Pipelines &amp; Military'!AE68/10^3</f>
        <v>1.564360062</v>
      </c>
      <c r="AF124" s="64">
        <f>AF98+'Pipelines &amp; Military'!AF68/10^3</f>
        <v>1.5786948270000001</v>
      </c>
      <c r="AG124" s="64">
        <f>AG98+'Pipelines &amp; Military'!AG68/10^3</f>
        <v>1.592774594</v>
      </c>
      <c r="AH124" s="64">
        <f>AH98+'Pipelines &amp; Military'!AH68/10^3</f>
        <v>1.6072113100000001</v>
      </c>
      <c r="AI124" s="64">
        <f>AI98+'Pipelines &amp; Military'!AI68/10^3</f>
        <v>1.618208332</v>
      </c>
      <c r="AJ124" s="64">
        <f>AJ98+'Pipelines &amp; Military'!AJ68/10^3</f>
        <v>1.6313242509999999</v>
      </c>
      <c r="AK124" s="62"/>
    </row>
    <row r="125" spans="1:37" s="9" customFormat="1" ht="15" customHeight="1">
      <c r="A125" s="60" t="s">
        <v>52</v>
      </c>
      <c r="B125" s="60" t="str">
        <f t="shared" si="2"/>
        <v>Heavy or Residual Oil</v>
      </c>
      <c r="C125" s="64">
        <f>C99+'Pipelines &amp; Military'!C67/10^3</f>
        <v>7.3138375000000005E-2</v>
      </c>
      <c r="D125" s="64">
        <f>D99+'Pipelines &amp; Military'!D67/10^3</f>
        <v>6.8774858999999994E-2</v>
      </c>
      <c r="E125" s="64">
        <f>E99+'Pipelines &amp; Military'!E67/10^3</f>
        <v>7.9194353999999995E-2</v>
      </c>
      <c r="F125" s="64">
        <f>F99+'Pipelines &amp; Military'!F67/10^3</f>
        <v>7.8305448E-2</v>
      </c>
      <c r="G125" s="64">
        <f>G99+'Pipelines &amp; Military'!G67/10^3</f>
        <v>7.6888631999999998E-2</v>
      </c>
      <c r="H125" s="64">
        <f>H99+'Pipelines &amp; Military'!H67/10^3</f>
        <v>7.7775429999999993E-2</v>
      </c>
      <c r="I125" s="64">
        <f>I99+'Pipelines &amp; Military'!I67/10^3</f>
        <v>7.7986072000000004E-2</v>
      </c>
      <c r="J125" s="64">
        <f>J99+'Pipelines &amp; Military'!J67/10^3</f>
        <v>7.8556452999999998E-2</v>
      </c>
      <c r="K125" s="64">
        <f>K99+'Pipelines &amp; Military'!K67/10^3</f>
        <v>7.9973599000000006E-2</v>
      </c>
      <c r="L125" s="64">
        <f>L99+'Pipelines &amp; Military'!L67/10^3</f>
        <v>8.1068396000000001E-2</v>
      </c>
      <c r="M125" s="64">
        <f>M99+'Pipelines &amp; Military'!M67/10^3</f>
        <v>8.1644237999999994E-2</v>
      </c>
      <c r="N125" s="64">
        <f>N99+'Pipelines &amp; Military'!N67/10^3</f>
        <v>8.2421623999999999E-2</v>
      </c>
      <c r="O125" s="64">
        <f>O99+'Pipelines &amp; Military'!O67/10^3</f>
        <v>8.3061046999999999E-2</v>
      </c>
      <c r="P125" s="64">
        <f>P99+'Pipelines &amp; Military'!P67/10^3</f>
        <v>8.3275268E-2</v>
      </c>
      <c r="Q125" s="64">
        <f>Q99+'Pipelines &amp; Military'!Q67/10^3</f>
        <v>8.3617889000000001E-2</v>
      </c>
      <c r="R125" s="64">
        <f>R99+'Pipelines &amp; Military'!R67/10^3</f>
        <v>8.3830617999999996E-2</v>
      </c>
      <c r="S125" s="64">
        <f>S99+'Pipelines &amp; Military'!S67/10^3</f>
        <v>8.4135618999999995E-2</v>
      </c>
      <c r="T125" s="64">
        <f>T99+'Pipelines &amp; Military'!T67/10^3</f>
        <v>8.4390725999999999E-2</v>
      </c>
      <c r="U125" s="64">
        <f>U99+'Pipelines &amp; Military'!U67/10^3</f>
        <v>8.4677280999999993E-2</v>
      </c>
      <c r="V125" s="64">
        <f>V99+'Pipelines &amp; Military'!V67/10^3</f>
        <v>8.5034218999999994E-2</v>
      </c>
      <c r="W125" s="64">
        <f>W99+'Pipelines &amp; Military'!W67/10^3</f>
        <v>8.5360031000000003E-2</v>
      </c>
      <c r="X125" s="64">
        <f>X99+'Pipelines &amp; Military'!X67/10^3</f>
        <v>8.5759954999999999E-2</v>
      </c>
      <c r="Y125" s="64">
        <f>Y99+'Pipelines &amp; Military'!Y67/10^3</f>
        <v>8.6049461999999993E-2</v>
      </c>
      <c r="Z125" s="64">
        <f>Z99+'Pipelines &amp; Military'!Z67/10^3</f>
        <v>8.6347751E-2</v>
      </c>
      <c r="AA125" s="64">
        <f>AA99+'Pipelines &amp; Military'!AA67/10^3</f>
        <v>8.6585300000000004E-2</v>
      </c>
      <c r="AB125" s="64">
        <f>AB99+'Pipelines &amp; Military'!AB67/10^3</f>
        <v>8.6742184E-2</v>
      </c>
      <c r="AC125" s="64">
        <f>AC99+'Pipelines &amp; Military'!AC67/10^3</f>
        <v>8.6840412000000006E-2</v>
      </c>
      <c r="AD125" s="64">
        <f>AD99+'Pipelines &amp; Military'!AD67/10^3</f>
        <v>8.7110583000000005E-2</v>
      </c>
      <c r="AE125" s="64">
        <f>AE99+'Pipelines &amp; Military'!AE67/10^3</f>
        <v>8.7333530000000006E-2</v>
      </c>
      <c r="AF125" s="64">
        <f>AF99+'Pipelines &amp; Military'!AF67/10^3</f>
        <v>8.7546705000000002E-2</v>
      </c>
      <c r="AG125" s="64">
        <f>AG99+'Pipelines &amp; Military'!AG67/10^3</f>
        <v>8.7781201000000003E-2</v>
      </c>
      <c r="AH125" s="64">
        <f>AH99+'Pipelines &amp; Military'!AH67/10^3</f>
        <v>8.8109129999999994E-2</v>
      </c>
      <c r="AI125" s="64">
        <f>AI99+'Pipelines &amp; Military'!AI67/10^3</f>
        <v>8.8295449999999998E-2</v>
      </c>
      <c r="AJ125" s="64">
        <f>AJ99+'Pipelines &amp; Military'!AJ67/10^3</f>
        <v>8.8632988999999995E-2</v>
      </c>
      <c r="AK125" s="62"/>
    </row>
    <row r="126" spans="1:37" s="9" customFormat="1" ht="15" customHeight="1">
      <c r="A126" s="60" t="s">
        <v>53</v>
      </c>
      <c r="B126" s="60" t="str">
        <f t="shared" si="2"/>
        <v>LPG/propane/butane</v>
      </c>
      <c r="C126" s="64">
        <f>C100</f>
        <v>0.69910000000000005</v>
      </c>
      <c r="D126" s="64">
        <f t="shared" si="1"/>
        <v>0.65690000000000004</v>
      </c>
      <c r="E126" s="64">
        <f t="shared" si="1"/>
        <v>0.69799999999999995</v>
      </c>
      <c r="F126" s="64">
        <f t="shared" si="1"/>
        <v>0.72949299999999995</v>
      </c>
      <c r="G126" s="64">
        <f t="shared" si="1"/>
        <v>0.77407800000000004</v>
      </c>
      <c r="H126" s="64">
        <f t="shared" si="1"/>
        <v>0.819407</v>
      </c>
      <c r="I126" s="64">
        <f t="shared" si="1"/>
        <v>0.85519100000000003</v>
      </c>
      <c r="J126" s="64">
        <f t="shared" si="1"/>
        <v>0.89721600000000001</v>
      </c>
      <c r="K126" s="64">
        <f t="shared" si="1"/>
        <v>0.92813900000000005</v>
      </c>
      <c r="L126" s="64">
        <f t="shared" si="1"/>
        <v>0.95019500000000001</v>
      </c>
      <c r="M126" s="64">
        <f t="shared" si="1"/>
        <v>0.99443700000000002</v>
      </c>
      <c r="N126" s="64">
        <f t="shared" si="1"/>
        <v>1.0226770000000001</v>
      </c>
      <c r="O126" s="64">
        <f t="shared" si="1"/>
        <v>1.0589329999999999</v>
      </c>
      <c r="P126" s="64">
        <f t="shared" si="1"/>
        <v>1.076451</v>
      </c>
      <c r="Q126" s="64">
        <f t="shared" si="1"/>
        <v>1.1015649999999999</v>
      </c>
      <c r="R126" s="64">
        <f t="shared" si="1"/>
        <v>1.127151</v>
      </c>
      <c r="S126" s="64">
        <f t="shared" si="1"/>
        <v>1.146841</v>
      </c>
      <c r="T126" s="64">
        <f t="shared" si="1"/>
        <v>1.1452260000000001</v>
      </c>
      <c r="U126" s="64">
        <f t="shared" si="1"/>
        <v>1.1584840000000001</v>
      </c>
      <c r="V126" s="64">
        <f t="shared" si="1"/>
        <v>1.177856</v>
      </c>
      <c r="W126" s="64">
        <f t="shared" si="1"/>
        <v>1.1850069999999999</v>
      </c>
      <c r="X126" s="64">
        <f t="shared" si="1"/>
        <v>1.212761</v>
      </c>
      <c r="Y126" s="64">
        <f t="shared" si="1"/>
        <v>1.2285619999999999</v>
      </c>
      <c r="Z126" s="64">
        <f t="shared" si="1"/>
        <v>1.2370909999999999</v>
      </c>
      <c r="AA126" s="64">
        <f t="shared" si="1"/>
        <v>1.251803</v>
      </c>
      <c r="AB126" s="64">
        <f t="shared" si="1"/>
        <v>1.2693559999999999</v>
      </c>
      <c r="AC126" s="64">
        <f t="shared" si="1"/>
        <v>1.267558</v>
      </c>
      <c r="AD126" s="64">
        <f t="shared" si="1"/>
        <v>1.2807440000000001</v>
      </c>
      <c r="AE126" s="64">
        <f t="shared" si="1"/>
        <v>1.2886660000000001</v>
      </c>
      <c r="AF126" s="64">
        <f t="shared" si="1"/>
        <v>1.301666</v>
      </c>
      <c r="AG126" s="64">
        <f t="shared" si="1"/>
        <v>1.314546</v>
      </c>
      <c r="AH126" s="64">
        <f t="shared" si="1"/>
        <v>1.3396220000000001</v>
      </c>
      <c r="AI126" s="64">
        <f t="shared" si="1"/>
        <v>1.3422879999999999</v>
      </c>
      <c r="AJ126" s="64">
        <f t="shared" si="1"/>
        <v>1.3581529999999999</v>
      </c>
      <c r="AK126" s="62"/>
    </row>
    <row r="127" spans="1:37" s="9" customFormat="1" ht="15" customHeight="1">
      <c r="A127" s="60" t="s">
        <v>328</v>
      </c>
      <c r="B127" s="60" t="str">
        <f t="shared" si="2"/>
        <v>Petroleum Diesel</v>
      </c>
      <c r="C127" s="64">
        <f>C101</f>
        <v>8.5871000000000003E-2</v>
      </c>
      <c r="D127" s="64">
        <f t="shared" si="1"/>
        <v>8.8170999999999999E-2</v>
      </c>
      <c r="E127" s="64">
        <f t="shared" si="1"/>
        <v>9.3171000000000004E-2</v>
      </c>
      <c r="F127" s="64">
        <f t="shared" si="1"/>
        <v>8.8564000000000004E-2</v>
      </c>
      <c r="G127" s="64">
        <f t="shared" si="1"/>
        <v>8.3861000000000005E-2</v>
      </c>
      <c r="H127" s="64">
        <f t="shared" si="1"/>
        <v>8.0367999999999995E-2</v>
      </c>
      <c r="I127" s="64">
        <f t="shared" si="1"/>
        <v>7.7727000000000004E-2</v>
      </c>
      <c r="J127" s="64">
        <f t="shared" si="1"/>
        <v>7.5356999999999993E-2</v>
      </c>
      <c r="K127" s="64">
        <f t="shared" si="1"/>
        <v>7.6896999999999993E-2</v>
      </c>
      <c r="L127" s="64">
        <f t="shared" si="1"/>
        <v>7.6429999999999998E-2</v>
      </c>
      <c r="M127" s="64">
        <f t="shared" si="1"/>
        <v>7.5051000000000007E-2</v>
      </c>
      <c r="N127" s="64">
        <f t="shared" si="1"/>
        <v>7.5469999999999995E-2</v>
      </c>
      <c r="O127" s="64">
        <f t="shared" si="1"/>
        <v>7.4916999999999997E-2</v>
      </c>
      <c r="P127" s="64">
        <f t="shared" si="1"/>
        <v>7.4450000000000002E-2</v>
      </c>
      <c r="Q127" s="64">
        <f t="shared" si="1"/>
        <v>7.3992000000000002E-2</v>
      </c>
      <c r="R127" s="64">
        <f t="shared" si="1"/>
        <v>7.4156E-2</v>
      </c>
      <c r="S127" s="64">
        <f t="shared" si="1"/>
        <v>7.3905999999999999E-2</v>
      </c>
      <c r="T127" s="64">
        <f t="shared" si="1"/>
        <v>7.3658000000000001E-2</v>
      </c>
      <c r="U127" s="64">
        <f t="shared" si="1"/>
        <v>7.2387999999999994E-2</v>
      </c>
      <c r="V127" s="64">
        <f t="shared" si="1"/>
        <v>7.2935E-2</v>
      </c>
      <c r="W127" s="64">
        <f t="shared" si="1"/>
        <v>7.3789999999999994E-2</v>
      </c>
      <c r="X127" s="64">
        <f t="shared" si="1"/>
        <v>7.4261999999999995E-2</v>
      </c>
      <c r="Y127" s="64">
        <f t="shared" si="1"/>
        <v>7.4526999999999996E-2</v>
      </c>
      <c r="Z127" s="64">
        <f t="shared" si="1"/>
        <v>7.5052999999999995E-2</v>
      </c>
      <c r="AA127" s="64">
        <f t="shared" si="1"/>
        <v>7.5259000000000006E-2</v>
      </c>
      <c r="AB127" s="64">
        <f t="shared" si="1"/>
        <v>7.5555999999999998E-2</v>
      </c>
      <c r="AC127" s="64">
        <f t="shared" si="1"/>
        <v>7.6220999999999997E-2</v>
      </c>
      <c r="AD127" s="64">
        <f t="shared" si="1"/>
        <v>7.7128000000000002E-2</v>
      </c>
      <c r="AE127" s="64">
        <f t="shared" si="1"/>
        <v>7.8028E-2</v>
      </c>
      <c r="AF127" s="64">
        <f t="shared" si="1"/>
        <v>7.8685000000000005E-2</v>
      </c>
      <c r="AG127" s="64">
        <f t="shared" si="1"/>
        <v>7.9507999999999995E-2</v>
      </c>
      <c r="AH127" s="64">
        <f t="shared" si="1"/>
        <v>8.0623E-2</v>
      </c>
      <c r="AI127" s="64">
        <f t="shared" si="1"/>
        <v>8.1439999999999999E-2</v>
      </c>
      <c r="AJ127" s="64">
        <f t="shared" si="1"/>
        <v>8.2029000000000005E-2</v>
      </c>
      <c r="AK127" s="62"/>
    </row>
    <row r="128" spans="1:37" s="9" customFormat="1" ht="15" customHeight="1">
      <c r="A128" s="60" t="s">
        <v>329</v>
      </c>
      <c r="B128" s="60" t="str">
        <f t="shared" si="2"/>
        <v>Petroleum Diesel</v>
      </c>
      <c r="C128" s="64">
        <f>C102</f>
        <v>0.84919999999999995</v>
      </c>
      <c r="D128" s="64">
        <f t="shared" si="1"/>
        <v>0.85209999999999997</v>
      </c>
      <c r="E128" s="64">
        <f t="shared" si="1"/>
        <v>0.87880000000000003</v>
      </c>
      <c r="F128" s="64">
        <f t="shared" si="1"/>
        <v>0.888602</v>
      </c>
      <c r="G128" s="64">
        <f t="shared" si="1"/>
        <v>0.90391299999999997</v>
      </c>
      <c r="H128" s="64">
        <f t="shared" si="1"/>
        <v>0.91840699999999997</v>
      </c>
      <c r="I128" s="64">
        <f t="shared" si="1"/>
        <v>0.92540299999999998</v>
      </c>
      <c r="J128" s="64">
        <f t="shared" si="1"/>
        <v>0.93040100000000003</v>
      </c>
      <c r="K128" s="64">
        <f t="shared" si="1"/>
        <v>0.93624499999999999</v>
      </c>
      <c r="L128" s="64">
        <f t="shared" si="1"/>
        <v>0.94327499999999997</v>
      </c>
      <c r="M128" s="64">
        <f t="shared" si="1"/>
        <v>0.95116000000000001</v>
      </c>
      <c r="N128" s="64">
        <f t="shared" si="1"/>
        <v>0.95908199999999999</v>
      </c>
      <c r="O128" s="64">
        <f t="shared" si="1"/>
        <v>0.97584099999999996</v>
      </c>
      <c r="P128" s="64">
        <f t="shared" si="1"/>
        <v>1.0036240000000001</v>
      </c>
      <c r="Q128" s="64">
        <f t="shared" si="1"/>
        <v>1.031018</v>
      </c>
      <c r="R128" s="64">
        <f t="shared" si="1"/>
        <v>1.0535289999999999</v>
      </c>
      <c r="S128" s="64">
        <f t="shared" si="1"/>
        <v>1.0793729999999999</v>
      </c>
      <c r="T128" s="64">
        <f t="shared" si="1"/>
        <v>1.1057440000000001</v>
      </c>
      <c r="U128" s="64">
        <f t="shared" si="1"/>
        <v>1.130479</v>
      </c>
      <c r="V128" s="64">
        <f t="shared" si="1"/>
        <v>1.15509</v>
      </c>
      <c r="W128" s="64">
        <f t="shared" si="1"/>
        <v>1.1821900000000001</v>
      </c>
      <c r="X128" s="64">
        <f t="shared" si="1"/>
        <v>1.2074130000000001</v>
      </c>
      <c r="Y128" s="64">
        <f t="shared" si="1"/>
        <v>1.231676</v>
      </c>
      <c r="Z128" s="64">
        <f t="shared" si="1"/>
        <v>1.259074</v>
      </c>
      <c r="AA128" s="64">
        <f t="shared" si="1"/>
        <v>1.286297</v>
      </c>
      <c r="AB128" s="64">
        <f t="shared" si="1"/>
        <v>1.314357</v>
      </c>
      <c r="AC128" s="64">
        <f t="shared" si="1"/>
        <v>1.342856</v>
      </c>
      <c r="AD128" s="64">
        <f t="shared" si="1"/>
        <v>1.3718060000000001</v>
      </c>
      <c r="AE128" s="64">
        <f t="shared" si="1"/>
        <v>1.401778</v>
      </c>
      <c r="AF128" s="64">
        <f t="shared" si="1"/>
        <v>1.432302</v>
      </c>
      <c r="AG128" s="64">
        <f t="shared" si="1"/>
        <v>1.463848</v>
      </c>
      <c r="AH128" s="64">
        <f t="shared" si="1"/>
        <v>1.4956320000000001</v>
      </c>
      <c r="AI128" s="64">
        <f t="shared" si="1"/>
        <v>1.5281450000000001</v>
      </c>
      <c r="AJ128" s="64">
        <f t="shared" si="1"/>
        <v>1.561572</v>
      </c>
      <c r="AK128" s="62"/>
    </row>
    <row r="129" spans="1:37" s="9" customFormat="1" ht="15" customHeight="1">
      <c r="A129" s="60" t="s">
        <v>330</v>
      </c>
      <c r="B129" s="60" t="str">
        <f t="shared" si="2"/>
        <v>Heavy or Residual Oil</v>
      </c>
      <c r="C129" s="64">
        <f>C103</f>
        <v>0.44779999999999998</v>
      </c>
      <c r="D129" s="64">
        <f t="shared" si="1"/>
        <v>0.45900000000000002</v>
      </c>
      <c r="E129" s="64">
        <f t="shared" si="1"/>
        <v>0.46079999999999999</v>
      </c>
      <c r="F129" s="64">
        <f t="shared" si="1"/>
        <v>0.423151</v>
      </c>
      <c r="G129" s="64">
        <f t="shared" si="1"/>
        <v>0.38906400000000002</v>
      </c>
      <c r="H129" s="64">
        <f t="shared" si="1"/>
        <v>0.36835099999999998</v>
      </c>
      <c r="I129" s="64">
        <f t="shared" si="1"/>
        <v>0.35024300000000003</v>
      </c>
      <c r="J129" s="64">
        <f t="shared" ref="D129:AJ136" si="4">J103</f>
        <v>0.33425500000000002</v>
      </c>
      <c r="K129" s="64">
        <f t="shared" si="4"/>
        <v>0.33837299999999998</v>
      </c>
      <c r="L129" s="64">
        <f t="shared" si="4"/>
        <v>0.33512700000000001</v>
      </c>
      <c r="M129" s="64">
        <f t="shared" si="4"/>
        <v>0.32887</v>
      </c>
      <c r="N129" s="64">
        <f t="shared" si="4"/>
        <v>0.328953</v>
      </c>
      <c r="O129" s="64">
        <f t="shared" si="4"/>
        <v>0.32459100000000002</v>
      </c>
      <c r="P129" s="64">
        <f t="shared" si="4"/>
        <v>0.32442599999999999</v>
      </c>
      <c r="Q129" s="64">
        <f t="shared" si="4"/>
        <v>0.32291700000000001</v>
      </c>
      <c r="R129" s="64">
        <f t="shared" si="4"/>
        <v>0.32571299999999997</v>
      </c>
      <c r="S129" s="64">
        <f t="shared" si="4"/>
        <v>0.32729900000000001</v>
      </c>
      <c r="T129" s="64">
        <f t="shared" si="4"/>
        <v>0.32724500000000001</v>
      </c>
      <c r="U129" s="64">
        <f t="shared" si="4"/>
        <v>0.32783400000000001</v>
      </c>
      <c r="V129" s="64">
        <f t="shared" si="4"/>
        <v>0.32866200000000001</v>
      </c>
      <c r="W129" s="64">
        <f t="shared" si="4"/>
        <v>0.32936900000000002</v>
      </c>
      <c r="X129" s="64">
        <f t="shared" si="4"/>
        <v>0.32996700000000001</v>
      </c>
      <c r="Y129" s="64">
        <f t="shared" si="4"/>
        <v>0.32967099999999999</v>
      </c>
      <c r="Z129" s="64">
        <f t="shared" si="4"/>
        <v>0.330513</v>
      </c>
      <c r="AA129" s="64">
        <f t="shared" si="4"/>
        <v>0.330181</v>
      </c>
      <c r="AB129" s="64">
        <f t="shared" si="4"/>
        <v>0.33007599999999998</v>
      </c>
      <c r="AC129" s="64">
        <f t="shared" si="4"/>
        <v>0.33154499999999998</v>
      </c>
      <c r="AD129" s="64">
        <f t="shared" si="4"/>
        <v>0.334623</v>
      </c>
      <c r="AE129" s="64">
        <f t="shared" si="4"/>
        <v>0.33678900000000001</v>
      </c>
      <c r="AF129" s="64">
        <f t="shared" si="4"/>
        <v>0.33914100000000003</v>
      </c>
      <c r="AG129" s="64">
        <f t="shared" si="4"/>
        <v>0.34180700000000003</v>
      </c>
      <c r="AH129" s="64">
        <f t="shared" si="4"/>
        <v>0.34646900000000003</v>
      </c>
      <c r="AI129" s="64">
        <f t="shared" si="4"/>
        <v>0.34994999999999998</v>
      </c>
      <c r="AJ129" s="64">
        <f t="shared" si="4"/>
        <v>0.35389199999999998</v>
      </c>
      <c r="AK129" s="62"/>
    </row>
    <row r="130" spans="1:37" s="9" customFormat="1" ht="15" customHeight="1">
      <c r="A130" s="60" t="s">
        <v>97</v>
      </c>
      <c r="B130" s="60"/>
      <c r="C130" s="64">
        <f>SUM(C121:C129)</f>
        <v>6.8870089130000007</v>
      </c>
      <c r="D130" s="64">
        <f t="shared" ref="D130:AJ130" si="5">SUM(D121:D129)</f>
        <v>7.2439971869999997</v>
      </c>
      <c r="E130" s="64">
        <f t="shared" si="5"/>
        <v>7.488869599</v>
      </c>
      <c r="F130" s="64">
        <f t="shared" si="5"/>
        <v>7.4213794649999993</v>
      </c>
      <c r="G130" s="64">
        <f t="shared" si="5"/>
        <v>7.6586697090000007</v>
      </c>
      <c r="H130" s="64">
        <f t="shared" si="5"/>
        <v>7.7971774289999995</v>
      </c>
      <c r="I130" s="64">
        <f t="shared" si="5"/>
        <v>7.8726466870000005</v>
      </c>
      <c r="J130" s="64">
        <f t="shared" si="5"/>
        <v>7.9716985359999999</v>
      </c>
      <c r="K130" s="64">
        <f t="shared" si="5"/>
        <v>8.0728935459999995</v>
      </c>
      <c r="L130" s="64">
        <f t="shared" si="5"/>
        <v>8.1433901830000011</v>
      </c>
      <c r="M130" s="64">
        <f t="shared" si="5"/>
        <v>8.2769858280000008</v>
      </c>
      <c r="N130" s="64">
        <f t="shared" si="5"/>
        <v>8.3720304619999997</v>
      </c>
      <c r="O130" s="64">
        <f t="shared" si="5"/>
        <v>8.4949510569999998</v>
      </c>
      <c r="P130" s="64">
        <f t="shared" si="5"/>
        <v>8.5741689169999997</v>
      </c>
      <c r="Q130" s="64">
        <f t="shared" si="5"/>
        <v>8.6826718879999998</v>
      </c>
      <c r="R130" s="64">
        <f t="shared" si="5"/>
        <v>8.791580776</v>
      </c>
      <c r="S130" s="64">
        <f t="shared" si="5"/>
        <v>8.8824220179999998</v>
      </c>
      <c r="T130" s="64">
        <f t="shared" si="5"/>
        <v>8.9121646529999996</v>
      </c>
      <c r="U130" s="64">
        <f t="shared" si="5"/>
        <v>8.9884799589999993</v>
      </c>
      <c r="V130" s="64">
        <f t="shared" si="5"/>
        <v>9.0836306709999999</v>
      </c>
      <c r="W130" s="64">
        <f t="shared" si="5"/>
        <v>9.1426407450000013</v>
      </c>
      <c r="X130" s="64">
        <f t="shared" si="5"/>
        <v>9.2666073410000003</v>
      </c>
      <c r="Y130" s="64">
        <f t="shared" si="5"/>
        <v>9.3457634809999988</v>
      </c>
      <c r="Z130" s="64">
        <f t="shared" si="5"/>
        <v>9.4108421510000007</v>
      </c>
      <c r="AA130" s="64">
        <f t="shared" si="5"/>
        <v>9.4966343159999997</v>
      </c>
      <c r="AB130" s="64">
        <f t="shared" si="5"/>
        <v>9.5891397999999999</v>
      </c>
      <c r="AC130" s="64">
        <f t="shared" si="5"/>
        <v>9.6248532850000004</v>
      </c>
      <c r="AD130" s="64">
        <f t="shared" si="5"/>
        <v>9.7137609030000007</v>
      </c>
      <c r="AE130" s="64">
        <f t="shared" si="5"/>
        <v>9.7849093060000012</v>
      </c>
      <c r="AF130" s="64">
        <f t="shared" si="5"/>
        <v>9.8738565470000008</v>
      </c>
      <c r="AG130" s="64">
        <f t="shared" si="5"/>
        <v>9.9631453610000005</v>
      </c>
      <c r="AH130" s="64">
        <f t="shared" si="5"/>
        <v>10.092262625000002</v>
      </c>
      <c r="AI130" s="64">
        <f t="shared" si="5"/>
        <v>10.151833994000002</v>
      </c>
      <c r="AJ130" s="64">
        <f t="shared" si="5"/>
        <v>10.248369392000001</v>
      </c>
      <c r="AK130" s="62"/>
    </row>
    <row r="131" spans="1:37" s="9" customFormat="1" ht="15" customHeight="1">
      <c r="A131" s="60" t="s">
        <v>331</v>
      </c>
      <c r="B131" s="60"/>
      <c r="C131" s="64">
        <f>C105+Refineries!C106/10^15+'Pipelines &amp; Military'!C114/10^3</f>
        <v>8.0964545670000003</v>
      </c>
      <c r="D131" s="64">
        <f>D105+Refineries!D106/10^15+'Pipelines &amp; Military'!D114/10^3</f>
        <v>8.3448775899999994</v>
      </c>
      <c r="E131" s="64">
        <f>E105+Refineries!E106/10^15+'Pipelines &amp; Military'!E114/10^3</f>
        <v>8.2590153439999998</v>
      </c>
      <c r="F131" s="64">
        <f>F105+Refineries!F106/10^15+'Pipelines &amp; Military'!F114/10^3</f>
        <v>8.469546416</v>
      </c>
      <c r="G131" s="64">
        <f>G105+Refineries!G106/10^15+'Pipelines &amp; Military'!G114/10^3</f>
        <v>8.647787816000001</v>
      </c>
      <c r="H131" s="64">
        <f>H105+Refineries!H106/10^15+'Pipelines &amp; Military'!H114/10^3</f>
        <v>8.7981573539999989</v>
      </c>
      <c r="I131" s="64">
        <f>I105+Refineries!I106/10^15+'Pipelines &amp; Military'!I114/10^3</f>
        <v>8.9165562989999998</v>
      </c>
      <c r="J131" s="64">
        <f>J105+Refineries!J106/10^15+'Pipelines &amp; Military'!J114/10^3</f>
        <v>9.0221271210000005</v>
      </c>
      <c r="K131" s="64">
        <f>K105+Refineries!K106/10^15+'Pipelines &amp; Military'!K114/10^3</f>
        <v>9.0627243249999996</v>
      </c>
      <c r="L131" s="64">
        <f>L105+Refineries!L106/10^15+'Pipelines &amp; Military'!L114/10^3</f>
        <v>9.1380306860000005</v>
      </c>
      <c r="M131" s="64">
        <f>M105+Refineries!M106/10^15+'Pipelines &amp; Military'!M114/10^3</f>
        <v>9.1739301599999994</v>
      </c>
      <c r="N131" s="64">
        <f>N105+Refineries!N106/10^15+'Pipelines &amp; Military'!N114/10^3</f>
        <v>9.2683757450000002</v>
      </c>
      <c r="O131" s="64">
        <f>O105+Refineries!O106/10^15+'Pipelines &amp; Military'!O114/10^3</f>
        <v>9.2877439689999992</v>
      </c>
      <c r="P131" s="64">
        <f>P105+Refineries!P106/10^15+'Pipelines &amp; Military'!P114/10^3</f>
        <v>9.3257823730000009</v>
      </c>
      <c r="Q131" s="64">
        <f>Q105+Refineries!Q106/10^15+'Pipelines &amp; Military'!Q114/10^3</f>
        <v>9.3522210880000003</v>
      </c>
      <c r="R131" s="64">
        <f>R105+Refineries!R106/10^15+'Pipelines &amp; Military'!R114/10^3</f>
        <v>9.3663028950000005</v>
      </c>
      <c r="S131" s="64">
        <f>S105+Refineries!S106/10^15+'Pipelines &amp; Military'!S114/10^3</f>
        <v>9.3688282510000001</v>
      </c>
      <c r="T131" s="64">
        <f>T105+Refineries!T106/10^15+'Pipelines &amp; Military'!T114/10^3</f>
        <v>9.3936421919999997</v>
      </c>
      <c r="U131" s="64">
        <f>U105+Refineries!U106/10^15+'Pipelines &amp; Military'!U114/10^3</f>
        <v>9.443708011</v>
      </c>
      <c r="V131" s="64">
        <f>V105+Refineries!V106/10^15+'Pipelines &amp; Military'!V114/10^3</f>
        <v>9.4944511179999989</v>
      </c>
      <c r="W131" s="64">
        <f>W105+Refineries!W106/10^15+'Pipelines &amp; Military'!W114/10^3</f>
        <v>9.5309957690000005</v>
      </c>
      <c r="X131" s="64">
        <f>X105+Refineries!X106/10^15+'Pipelines &amp; Military'!X114/10^3</f>
        <v>9.6131852630000001</v>
      </c>
      <c r="Y131" s="64">
        <f>Y105+Refineries!Y106/10^15+'Pipelines &amp; Military'!Y114/10^3</f>
        <v>9.6631056199999996</v>
      </c>
      <c r="Z131" s="64">
        <f>Z105+Refineries!Z106/10^15+'Pipelines &amp; Military'!Z114/10^3</f>
        <v>9.7152111839999993</v>
      </c>
      <c r="AA131" s="64">
        <f>AA105+Refineries!AA106/10^15+'Pipelines &amp; Military'!AA114/10^3</f>
        <v>9.7787806489999998</v>
      </c>
      <c r="AB131" s="64">
        <f>AB105+Refineries!AB106/10^15+'Pipelines &amp; Military'!AB114/10^3</f>
        <v>9.8202804089999987</v>
      </c>
      <c r="AC131" s="64">
        <f>AC105+Refineries!AC106/10^15+'Pipelines &amp; Military'!AC114/10^3</f>
        <v>9.8792813729999995</v>
      </c>
      <c r="AD131" s="64">
        <f>AD105+Refineries!AD106/10^15+'Pipelines &amp; Military'!AD114/10^3</f>
        <v>9.9196420649999997</v>
      </c>
      <c r="AE131" s="64">
        <f>AE105+Refineries!AE106/10^15+'Pipelines &amp; Military'!AE114/10^3</f>
        <v>10.038802669999999</v>
      </c>
      <c r="AF131" s="64">
        <f>AF105+Refineries!AF106/10^15+'Pipelines &amp; Military'!AF114/10^3</f>
        <v>10.064250232999999</v>
      </c>
      <c r="AG131" s="64">
        <f>AG105+Refineries!AG106/10^15+'Pipelines &amp; Military'!AG114/10^3</f>
        <v>10.126781704000001</v>
      </c>
      <c r="AH131" s="64">
        <f>AH105+Refineries!AH106/10^15+'Pipelines &amp; Military'!AH114/10^3</f>
        <v>10.192687612</v>
      </c>
      <c r="AI131" s="64">
        <f>AI105+Refineries!AI106/10^15+'Pipelines &amp; Military'!AI114/10^3</f>
        <v>10.262544675000001</v>
      </c>
      <c r="AJ131" s="64">
        <f>AJ105+Refineries!AJ106/10^15+'Pipelines &amp; Military'!AJ114/10^3</f>
        <v>10.324624035999999</v>
      </c>
      <c r="AK131" s="62"/>
    </row>
    <row r="132" spans="1:37" s="9" customFormat="1" ht="15" customHeight="1">
      <c r="A132" s="60" t="s">
        <v>332</v>
      </c>
      <c r="B132" s="60"/>
      <c r="C132" s="64">
        <f>C106</f>
        <v>0.82599999999999996</v>
      </c>
      <c r="D132" s="64">
        <f t="shared" si="4"/>
        <v>0.89400000000000002</v>
      </c>
      <c r="E132" s="64">
        <f t="shared" si="4"/>
        <v>0.94699999999999995</v>
      </c>
      <c r="F132" s="64">
        <f t="shared" si="4"/>
        <v>0.95799999999999996</v>
      </c>
      <c r="G132" s="64">
        <f t="shared" si="4"/>
        <v>0.96599999999999997</v>
      </c>
      <c r="H132" s="64">
        <f t="shared" si="4"/>
        <v>0.98408099999999998</v>
      </c>
      <c r="I132" s="64">
        <f t="shared" si="4"/>
        <v>0.99960899999999997</v>
      </c>
      <c r="J132" s="64">
        <f t="shared" si="4"/>
        <v>1.0173760000000001</v>
      </c>
      <c r="K132" s="64">
        <f t="shared" si="4"/>
        <v>1.0314099999999999</v>
      </c>
      <c r="L132" s="64">
        <f t="shared" si="4"/>
        <v>1.043455</v>
      </c>
      <c r="M132" s="64">
        <f t="shared" si="4"/>
        <v>1.060513</v>
      </c>
      <c r="N132" s="64">
        <f t="shared" si="4"/>
        <v>1.072343</v>
      </c>
      <c r="O132" s="64">
        <f t="shared" si="4"/>
        <v>1.079782</v>
      </c>
      <c r="P132" s="64">
        <f t="shared" si="4"/>
        <v>1.079088</v>
      </c>
      <c r="Q132" s="64">
        <f t="shared" si="4"/>
        <v>1.0834900000000001</v>
      </c>
      <c r="R132" s="64">
        <f t="shared" si="4"/>
        <v>1.095556</v>
      </c>
      <c r="S132" s="64">
        <f t="shared" si="4"/>
        <v>1.0964400000000001</v>
      </c>
      <c r="T132" s="64">
        <f t="shared" si="4"/>
        <v>1.0947039999999999</v>
      </c>
      <c r="U132" s="64">
        <f t="shared" si="4"/>
        <v>1.097108</v>
      </c>
      <c r="V132" s="64">
        <f t="shared" si="4"/>
        <v>1.103558</v>
      </c>
      <c r="W132" s="64">
        <f t="shared" si="4"/>
        <v>1.10629</v>
      </c>
      <c r="X132" s="64">
        <f t="shared" si="4"/>
        <v>1.115955</v>
      </c>
      <c r="Y132" s="64">
        <f t="shared" si="4"/>
        <v>1.1204400000000001</v>
      </c>
      <c r="Z132" s="64">
        <f t="shared" si="4"/>
        <v>1.1217630000000001</v>
      </c>
      <c r="AA132" s="64">
        <f t="shared" si="4"/>
        <v>1.123567</v>
      </c>
      <c r="AB132" s="64">
        <f t="shared" si="4"/>
        <v>1.1262570000000001</v>
      </c>
      <c r="AC132" s="64">
        <f t="shared" si="4"/>
        <v>1.1242810000000001</v>
      </c>
      <c r="AD132" s="64">
        <f t="shared" si="4"/>
        <v>1.127246</v>
      </c>
      <c r="AE132" s="64">
        <f t="shared" si="4"/>
        <v>1.128401</v>
      </c>
      <c r="AF132" s="64">
        <f t="shared" si="4"/>
        <v>1.1310009999999999</v>
      </c>
      <c r="AG132" s="64">
        <f t="shared" si="4"/>
        <v>1.1342019999999999</v>
      </c>
      <c r="AH132" s="64">
        <f t="shared" si="4"/>
        <v>1.141446</v>
      </c>
      <c r="AI132" s="64">
        <f t="shared" si="4"/>
        <v>1.1433340000000001</v>
      </c>
      <c r="AJ132" s="64">
        <f t="shared" si="4"/>
        <v>1.147427</v>
      </c>
      <c r="AK132" s="62"/>
    </row>
    <row r="133" spans="1:37" s="9" customFormat="1" ht="15" customHeight="1">
      <c r="A133" s="60" t="s">
        <v>333</v>
      </c>
      <c r="B133" s="60"/>
      <c r="C133" s="64">
        <f>C107</f>
        <v>1.627453</v>
      </c>
      <c r="D133" s="64">
        <f t="shared" si="4"/>
        <v>1.8070040000000001</v>
      </c>
      <c r="E133" s="64">
        <f t="shared" si="4"/>
        <v>1.939764</v>
      </c>
      <c r="F133" s="64">
        <f t="shared" si="4"/>
        <v>2.0253429999999999</v>
      </c>
      <c r="G133" s="64">
        <f t="shared" si="4"/>
        <v>2.0708859999999998</v>
      </c>
      <c r="H133" s="64">
        <f t="shared" si="4"/>
        <v>2.1089039999999999</v>
      </c>
      <c r="I133" s="64">
        <f t="shared" si="4"/>
        <v>2.138973</v>
      </c>
      <c r="J133" s="64">
        <f t="shared" si="4"/>
        <v>2.1718630000000001</v>
      </c>
      <c r="K133" s="64">
        <f t="shared" si="4"/>
        <v>2.2022780000000002</v>
      </c>
      <c r="L133" s="64">
        <f t="shared" si="4"/>
        <v>2.2560820000000001</v>
      </c>
      <c r="M133" s="64">
        <f t="shared" si="4"/>
        <v>2.2753489999999998</v>
      </c>
      <c r="N133" s="64">
        <f t="shared" si="4"/>
        <v>2.2911000000000001</v>
      </c>
      <c r="O133" s="64">
        <f t="shared" si="4"/>
        <v>2.2974600000000001</v>
      </c>
      <c r="P133" s="64">
        <f t="shared" si="4"/>
        <v>2.3020870000000002</v>
      </c>
      <c r="Q133" s="64">
        <f t="shared" si="4"/>
        <v>2.319197</v>
      </c>
      <c r="R133" s="64">
        <f t="shared" si="4"/>
        <v>2.33494</v>
      </c>
      <c r="S133" s="64">
        <f t="shared" si="4"/>
        <v>2.3408570000000002</v>
      </c>
      <c r="T133" s="64">
        <f t="shared" si="4"/>
        <v>2.3562150000000002</v>
      </c>
      <c r="U133" s="64">
        <f t="shared" si="4"/>
        <v>2.366606</v>
      </c>
      <c r="V133" s="64">
        <f t="shared" si="4"/>
        <v>2.3871859999999998</v>
      </c>
      <c r="W133" s="64">
        <f t="shared" si="4"/>
        <v>2.3990770000000001</v>
      </c>
      <c r="X133" s="64">
        <f t="shared" si="4"/>
        <v>2.4199709999999999</v>
      </c>
      <c r="Y133" s="64">
        <f t="shared" si="4"/>
        <v>2.4342619999999999</v>
      </c>
      <c r="Z133" s="64">
        <f t="shared" si="4"/>
        <v>2.456324</v>
      </c>
      <c r="AA133" s="64">
        <f t="shared" si="4"/>
        <v>2.452296</v>
      </c>
      <c r="AB133" s="64">
        <f t="shared" si="4"/>
        <v>2.4544139999999999</v>
      </c>
      <c r="AC133" s="64">
        <f t="shared" si="4"/>
        <v>2.4459590000000002</v>
      </c>
      <c r="AD133" s="64">
        <f t="shared" si="4"/>
        <v>2.4473669999999998</v>
      </c>
      <c r="AE133" s="64">
        <f t="shared" si="4"/>
        <v>2.4416449999999998</v>
      </c>
      <c r="AF133" s="64">
        <f t="shared" si="4"/>
        <v>2.4383910000000002</v>
      </c>
      <c r="AG133" s="64">
        <f t="shared" si="4"/>
        <v>2.4294799999999999</v>
      </c>
      <c r="AH133" s="64">
        <f t="shared" si="4"/>
        <v>2.4306079999999999</v>
      </c>
      <c r="AI133" s="64">
        <f t="shared" si="4"/>
        <v>2.4204110000000001</v>
      </c>
      <c r="AJ133" s="64">
        <f t="shared" si="4"/>
        <v>2.4211450000000001</v>
      </c>
      <c r="AK133" s="62"/>
    </row>
    <row r="134" spans="1:37" s="9" customFormat="1" ht="15" customHeight="1">
      <c r="A134" s="60" t="s">
        <v>334</v>
      </c>
      <c r="B134" s="60"/>
      <c r="C134" s="64">
        <f>C108</f>
        <v>7.3372000000000007E-2</v>
      </c>
      <c r="D134" s="64">
        <f t="shared" si="4"/>
        <v>0.111803</v>
      </c>
      <c r="E134" s="64">
        <f t="shared" si="4"/>
        <v>0.198681</v>
      </c>
      <c r="F134" s="64">
        <f t="shared" si="4"/>
        <v>0.28018199999999999</v>
      </c>
      <c r="G134" s="64">
        <f t="shared" si="4"/>
        <v>0.30360799999999999</v>
      </c>
      <c r="H134" s="64">
        <f t="shared" si="4"/>
        <v>0.304732</v>
      </c>
      <c r="I134" s="64">
        <f t="shared" si="4"/>
        <v>0.34478300000000001</v>
      </c>
      <c r="J134" s="64">
        <f t="shared" si="4"/>
        <v>0.38741199999999998</v>
      </c>
      <c r="K134" s="64">
        <f t="shared" si="4"/>
        <v>0.43491600000000002</v>
      </c>
      <c r="L134" s="64">
        <f t="shared" si="4"/>
        <v>0.46948299999999998</v>
      </c>
      <c r="M134" s="64">
        <f t="shared" si="4"/>
        <v>0.49022300000000002</v>
      </c>
      <c r="N134" s="64">
        <f t="shared" si="4"/>
        <v>0.51185199999999997</v>
      </c>
      <c r="O134" s="64">
        <f t="shared" si="4"/>
        <v>0.52478999999999998</v>
      </c>
      <c r="P134" s="64">
        <f t="shared" si="4"/>
        <v>0.53170300000000004</v>
      </c>
      <c r="Q134" s="64">
        <f t="shared" si="4"/>
        <v>0.53170300000000004</v>
      </c>
      <c r="R134" s="64">
        <f t="shared" si="4"/>
        <v>0.53259199999999995</v>
      </c>
      <c r="S134" s="64">
        <f t="shared" si="4"/>
        <v>0.53170300000000004</v>
      </c>
      <c r="T134" s="64">
        <f t="shared" si="4"/>
        <v>0.53170300000000004</v>
      </c>
      <c r="U134" s="64">
        <f t="shared" si="4"/>
        <v>0.53170300000000004</v>
      </c>
      <c r="V134" s="64">
        <f t="shared" si="4"/>
        <v>0.53259199999999995</v>
      </c>
      <c r="W134" s="64">
        <f t="shared" si="4"/>
        <v>0.53170300000000004</v>
      </c>
      <c r="X134" s="64">
        <f t="shared" si="4"/>
        <v>0.53170300000000004</v>
      </c>
      <c r="Y134" s="64">
        <f t="shared" si="4"/>
        <v>0.53170300000000004</v>
      </c>
      <c r="Z134" s="64">
        <f t="shared" si="4"/>
        <v>0.53259199999999995</v>
      </c>
      <c r="AA134" s="64">
        <f t="shared" si="4"/>
        <v>0.53170300000000004</v>
      </c>
      <c r="AB134" s="64">
        <f t="shared" si="4"/>
        <v>0.53170300000000004</v>
      </c>
      <c r="AC134" s="64">
        <f t="shared" si="4"/>
        <v>0.53170300000000004</v>
      </c>
      <c r="AD134" s="64">
        <f t="shared" si="4"/>
        <v>0.53259199999999995</v>
      </c>
      <c r="AE134" s="64">
        <f t="shared" si="4"/>
        <v>0.53170300000000004</v>
      </c>
      <c r="AF134" s="64">
        <f t="shared" si="4"/>
        <v>0.53170300000000004</v>
      </c>
      <c r="AG134" s="64">
        <f t="shared" si="4"/>
        <v>0.53170300000000004</v>
      </c>
      <c r="AH134" s="64">
        <f t="shared" si="4"/>
        <v>0.53259199999999995</v>
      </c>
      <c r="AI134" s="64">
        <f t="shared" si="4"/>
        <v>0.53170300000000004</v>
      </c>
      <c r="AJ134" s="64">
        <f t="shared" si="4"/>
        <v>0.53170300000000004</v>
      </c>
      <c r="AK134" s="62"/>
    </row>
    <row r="135" spans="1:37" s="9" customFormat="1" ht="15" customHeight="1">
      <c r="A135" s="60" t="s">
        <v>54</v>
      </c>
      <c r="B135" s="60"/>
      <c r="C135" s="64">
        <f>SUM(C131:C134)</f>
        <v>10.623279567000003</v>
      </c>
      <c r="D135" s="64">
        <f t="shared" ref="D135:AJ135" si="6">SUM(D131:D134)</f>
        <v>11.157684590000001</v>
      </c>
      <c r="E135" s="64">
        <f t="shared" si="6"/>
        <v>11.344460344</v>
      </c>
      <c r="F135" s="64">
        <f t="shared" si="6"/>
        <v>11.733071416</v>
      </c>
      <c r="G135" s="64">
        <f t="shared" si="6"/>
        <v>11.988281816000001</v>
      </c>
      <c r="H135" s="64">
        <f t="shared" si="6"/>
        <v>12.195874353999999</v>
      </c>
      <c r="I135" s="64">
        <f t="shared" si="6"/>
        <v>12.399921298999999</v>
      </c>
      <c r="J135" s="64">
        <f t="shared" si="6"/>
        <v>12.598778121</v>
      </c>
      <c r="K135" s="64">
        <f t="shared" si="6"/>
        <v>12.731328324999998</v>
      </c>
      <c r="L135" s="64">
        <f t="shared" si="6"/>
        <v>12.907050686000002</v>
      </c>
      <c r="M135" s="64">
        <f t="shared" si="6"/>
        <v>13.00001516</v>
      </c>
      <c r="N135" s="64">
        <f t="shared" si="6"/>
        <v>13.143670745</v>
      </c>
      <c r="O135" s="64">
        <f t="shared" si="6"/>
        <v>13.189775968999999</v>
      </c>
      <c r="P135" s="64">
        <f t="shared" si="6"/>
        <v>13.238660373000002</v>
      </c>
      <c r="Q135" s="64">
        <f t="shared" si="6"/>
        <v>13.286611088000001</v>
      </c>
      <c r="R135" s="64">
        <f t="shared" si="6"/>
        <v>13.329390895</v>
      </c>
      <c r="S135" s="64">
        <f t="shared" si="6"/>
        <v>13.337828250999999</v>
      </c>
      <c r="T135" s="64">
        <f t="shared" si="6"/>
        <v>13.376264192000001</v>
      </c>
      <c r="U135" s="64">
        <f t="shared" si="6"/>
        <v>13.439125011000002</v>
      </c>
      <c r="V135" s="64">
        <f t="shared" si="6"/>
        <v>13.517787117999998</v>
      </c>
      <c r="W135" s="64">
        <f t="shared" si="6"/>
        <v>13.568065769</v>
      </c>
      <c r="X135" s="64">
        <f t="shared" si="6"/>
        <v>13.680814263</v>
      </c>
      <c r="Y135" s="64">
        <f t="shared" si="6"/>
        <v>13.749510620000001</v>
      </c>
      <c r="Z135" s="64">
        <f t="shared" si="6"/>
        <v>13.825890183999999</v>
      </c>
      <c r="AA135" s="64">
        <f t="shared" si="6"/>
        <v>13.886346649</v>
      </c>
      <c r="AB135" s="64">
        <f t="shared" si="6"/>
        <v>13.932654409</v>
      </c>
      <c r="AC135" s="64">
        <f t="shared" si="6"/>
        <v>13.981224373</v>
      </c>
      <c r="AD135" s="64">
        <f t="shared" si="6"/>
        <v>14.026847064999998</v>
      </c>
      <c r="AE135" s="64">
        <f t="shared" si="6"/>
        <v>14.140551669999999</v>
      </c>
      <c r="AF135" s="64">
        <f t="shared" si="6"/>
        <v>14.165345233</v>
      </c>
      <c r="AG135" s="64">
        <f t="shared" si="6"/>
        <v>14.222166704000001</v>
      </c>
      <c r="AH135" s="64">
        <f t="shared" si="6"/>
        <v>14.297333611999999</v>
      </c>
      <c r="AI135" s="64">
        <f t="shared" si="6"/>
        <v>14.357992675</v>
      </c>
      <c r="AJ135" s="64">
        <f t="shared" si="6"/>
        <v>14.424899035999999</v>
      </c>
      <c r="AK135" s="62"/>
    </row>
    <row r="136" spans="1:37" s="9" customFormat="1" ht="15" customHeight="1">
      <c r="A136" s="60" t="s">
        <v>335</v>
      </c>
      <c r="B136" s="60"/>
      <c r="C136" s="64">
        <f>C110</f>
        <v>0.47439999999999999</v>
      </c>
      <c r="D136" s="64">
        <f t="shared" si="4"/>
        <v>0.53410000000000002</v>
      </c>
      <c r="E136" s="64">
        <f t="shared" si="4"/>
        <v>0.56169999999999998</v>
      </c>
      <c r="F136" s="64">
        <f t="shared" si="4"/>
        <v>0.51243300000000003</v>
      </c>
      <c r="G136" s="64">
        <f t="shared" si="4"/>
        <v>0.48030400000000001</v>
      </c>
      <c r="H136" s="64">
        <f t="shared" si="4"/>
        <v>0.46878999999999998</v>
      </c>
      <c r="I136" s="64">
        <f t="shared" si="4"/>
        <v>0.45962399999999998</v>
      </c>
      <c r="J136" s="64">
        <f t="shared" si="4"/>
        <v>0.45963399999999999</v>
      </c>
      <c r="K136" s="64">
        <f t="shared" si="4"/>
        <v>0.46260099999999998</v>
      </c>
      <c r="L136" s="64">
        <f t="shared" si="4"/>
        <v>0.46488499999999999</v>
      </c>
      <c r="M136" s="64">
        <f t="shared" si="4"/>
        <v>0.46390700000000001</v>
      </c>
      <c r="N136" s="64">
        <f t="shared" si="4"/>
        <v>0.46733799999999998</v>
      </c>
      <c r="O136" s="64">
        <f t="shared" si="4"/>
        <v>0.46665099999999998</v>
      </c>
      <c r="P136" s="64">
        <f t="shared" si="4"/>
        <v>0.47016000000000002</v>
      </c>
      <c r="Q136" s="64">
        <f t="shared" si="4"/>
        <v>0.473194</v>
      </c>
      <c r="R136" s="64">
        <f t="shared" si="4"/>
        <v>0.47552800000000001</v>
      </c>
      <c r="S136" s="64">
        <f t="shared" si="4"/>
        <v>0.47842299999999999</v>
      </c>
      <c r="T136" s="64">
        <f t="shared" si="4"/>
        <v>0.48211500000000002</v>
      </c>
      <c r="U136" s="64">
        <f t="shared" si="4"/>
        <v>0.48320200000000002</v>
      </c>
      <c r="V136" s="64">
        <f t="shared" si="4"/>
        <v>0.484066</v>
      </c>
      <c r="W136" s="64">
        <f t="shared" si="4"/>
        <v>0.48829400000000001</v>
      </c>
      <c r="X136" s="64">
        <f t="shared" si="4"/>
        <v>0.48953799999999997</v>
      </c>
      <c r="Y136" s="64">
        <f t="shared" si="4"/>
        <v>0.48846899999999999</v>
      </c>
      <c r="Z136" s="64">
        <f t="shared" si="4"/>
        <v>0.48500700000000002</v>
      </c>
      <c r="AA136" s="64">
        <f t="shared" si="4"/>
        <v>0.48389500000000002</v>
      </c>
      <c r="AB136" s="64">
        <f t="shared" si="4"/>
        <v>0.48017300000000002</v>
      </c>
      <c r="AC136" s="64">
        <f t="shared" si="4"/>
        <v>0.478016</v>
      </c>
      <c r="AD136" s="64">
        <f t="shared" si="4"/>
        <v>0.47485500000000003</v>
      </c>
      <c r="AE136" s="64">
        <f t="shared" si="4"/>
        <v>0.47470600000000002</v>
      </c>
      <c r="AF136" s="64">
        <f t="shared" si="4"/>
        <v>0.47083199999999997</v>
      </c>
      <c r="AG136" s="64">
        <f t="shared" si="4"/>
        <v>0.46945799999999999</v>
      </c>
      <c r="AH136" s="64">
        <f t="shared" si="4"/>
        <v>0.46679100000000001</v>
      </c>
      <c r="AI136" s="64">
        <f t="shared" si="4"/>
        <v>0.46476000000000001</v>
      </c>
      <c r="AJ136" s="64">
        <f t="shared" si="4"/>
        <v>0.46199699999999999</v>
      </c>
      <c r="AK136" s="62"/>
    </row>
    <row r="137" spans="1:37" s="9" customFormat="1" ht="15" customHeight="1">
      <c r="A137" s="60" t="s">
        <v>55</v>
      </c>
      <c r="B137" s="60"/>
      <c r="C137" s="64">
        <f>C111+Refineries!C107/10^15</f>
        <v>0.64153199999999999</v>
      </c>
      <c r="D137" s="64">
        <f>D111+Refineries!D107/10^15</f>
        <v>0.58561700000000005</v>
      </c>
      <c r="E137" s="64">
        <f>E111+Refineries!E107/10^15</f>
        <v>0.57229399999999997</v>
      </c>
      <c r="F137" s="64">
        <f>F111+Refineries!F107/10^15</f>
        <v>0.59467910199999996</v>
      </c>
      <c r="G137" s="64">
        <f>G111+Refineries!G107/10^15</f>
        <v>0.60970510199999994</v>
      </c>
      <c r="H137" s="64">
        <f>H111+Refineries!H107/10^15</f>
        <v>0.62071710199999997</v>
      </c>
      <c r="I137" s="64">
        <f>I111+Refineries!I107/10^15</f>
        <v>0.62875910199999996</v>
      </c>
      <c r="J137" s="64">
        <f>J111+Refineries!J107/10^15</f>
        <v>0.63606210200000002</v>
      </c>
      <c r="K137" s="64">
        <f>K111+Refineries!K107/10^15</f>
        <v>0.640378102</v>
      </c>
      <c r="L137" s="64">
        <f>L111+Refineries!L107/10^15</f>
        <v>0.63943810199999995</v>
      </c>
      <c r="M137" s="64">
        <f>M111+Refineries!M107/10^15</f>
        <v>0.63647110200000001</v>
      </c>
      <c r="N137" s="64">
        <f>N111+Refineries!N107/10^15</f>
        <v>0.63446910199999995</v>
      </c>
      <c r="O137" s="64">
        <f>O111+Refineries!O107/10^15</f>
        <v>0.63080210199999998</v>
      </c>
      <c r="P137" s="64">
        <f>P111+Refineries!P107/10^15</f>
        <v>0.62297610199999998</v>
      </c>
      <c r="Q137" s="64">
        <f>Q111+Refineries!Q107/10^15</f>
        <v>0.61583910200000003</v>
      </c>
      <c r="R137" s="64">
        <f>R111+Refineries!R107/10^15</f>
        <v>0.60795910199999992</v>
      </c>
      <c r="S137" s="64">
        <f>S111+Refineries!S107/10^15</f>
        <v>0.60061810199999999</v>
      </c>
      <c r="T137" s="64">
        <f>T111+Refineries!T107/10^15</f>
        <v>0.59433410199999992</v>
      </c>
      <c r="U137" s="64">
        <f>U111+Refineries!U107/10^15</f>
        <v>0.58695610199999992</v>
      </c>
      <c r="V137" s="64">
        <f>V111+Refineries!V107/10^15</f>
        <v>0.58499710199999999</v>
      </c>
      <c r="W137" s="64">
        <f>W111+Refineries!W107/10^15</f>
        <v>0.58394310199999999</v>
      </c>
      <c r="X137" s="64">
        <f>X111+Refineries!X107/10^15</f>
        <v>0.58257610199999998</v>
      </c>
      <c r="Y137" s="64">
        <f>Y111+Refineries!Y107/10^15</f>
        <v>0.58029610199999992</v>
      </c>
      <c r="Z137" s="64">
        <f>Z111+Refineries!Z107/10^15</f>
        <v>0.57837710199999992</v>
      </c>
      <c r="AA137" s="64">
        <f>AA111+Refineries!AA107/10^15</f>
        <v>0.57735110199999995</v>
      </c>
      <c r="AB137" s="64">
        <f>AB111+Refineries!AB107/10^15</f>
        <v>0.57548110200000002</v>
      </c>
      <c r="AC137" s="64">
        <f>AC111+Refineries!AC107/10^15</f>
        <v>0.57417710199999994</v>
      </c>
      <c r="AD137" s="64">
        <f>AD111+Refineries!AD107/10^15</f>
        <v>0.57329710199999995</v>
      </c>
      <c r="AE137" s="64">
        <f>AE111+Refineries!AE107/10^15</f>
        <v>0.57313210199999998</v>
      </c>
      <c r="AF137" s="64">
        <f>AF111+Refineries!AF107/10^15</f>
        <v>0.57216110199999992</v>
      </c>
      <c r="AG137" s="64">
        <f>AG111+Refineries!AG107/10^15</f>
        <v>0.572013102</v>
      </c>
      <c r="AH137" s="64">
        <f>AH111+Refineries!AH107/10^15</f>
        <v>0.57201610199999997</v>
      </c>
      <c r="AI137" s="64">
        <f>AI111+Refineries!AI107/10^15</f>
        <v>0.57185310199999995</v>
      </c>
      <c r="AJ137" s="64">
        <f>AJ111+Refineries!AJ107/10^15</f>
        <v>0.57218910199999995</v>
      </c>
      <c r="AK137" s="62"/>
    </row>
    <row r="138" spans="1:37" s="9" customFormat="1" ht="15" customHeight="1">
      <c r="A138" s="60" t="s">
        <v>56</v>
      </c>
      <c r="B138" s="60"/>
      <c r="C138" s="64">
        <f>SUM(C136:C137)</f>
        <v>1.1159319999999999</v>
      </c>
      <c r="D138" s="64">
        <f t="shared" ref="D138:AJ138" si="7">SUM(D136:D137)</f>
        <v>1.1197170000000001</v>
      </c>
      <c r="E138" s="64">
        <f t="shared" si="7"/>
        <v>1.1339939999999999</v>
      </c>
      <c r="F138" s="64">
        <f t="shared" si="7"/>
        <v>1.1071121019999999</v>
      </c>
      <c r="G138" s="64">
        <f t="shared" si="7"/>
        <v>1.090009102</v>
      </c>
      <c r="H138" s="64">
        <f t="shared" si="7"/>
        <v>1.089507102</v>
      </c>
      <c r="I138" s="64">
        <f t="shared" si="7"/>
        <v>1.0883831019999999</v>
      </c>
      <c r="J138" s="64">
        <f t="shared" si="7"/>
        <v>1.095696102</v>
      </c>
      <c r="K138" s="64">
        <f t="shared" si="7"/>
        <v>1.1029791019999999</v>
      </c>
      <c r="L138" s="64">
        <f t="shared" si="7"/>
        <v>1.1043231019999999</v>
      </c>
      <c r="M138" s="64">
        <f t="shared" si="7"/>
        <v>1.1003781020000001</v>
      </c>
      <c r="N138" s="64">
        <f t="shared" si="7"/>
        <v>1.101807102</v>
      </c>
      <c r="O138" s="64">
        <f t="shared" si="7"/>
        <v>1.097453102</v>
      </c>
      <c r="P138" s="64">
        <f t="shared" si="7"/>
        <v>1.0931361019999999</v>
      </c>
      <c r="Q138" s="64">
        <f t="shared" si="7"/>
        <v>1.0890331020000001</v>
      </c>
      <c r="R138" s="64">
        <f t="shared" si="7"/>
        <v>1.0834871019999999</v>
      </c>
      <c r="S138" s="64">
        <f t="shared" si="7"/>
        <v>1.0790411019999999</v>
      </c>
      <c r="T138" s="64">
        <f t="shared" si="7"/>
        <v>1.076449102</v>
      </c>
      <c r="U138" s="64">
        <f t="shared" si="7"/>
        <v>1.0701581019999999</v>
      </c>
      <c r="V138" s="64">
        <f t="shared" si="7"/>
        <v>1.0690631019999999</v>
      </c>
      <c r="W138" s="64">
        <f t="shared" si="7"/>
        <v>1.0722371019999999</v>
      </c>
      <c r="X138" s="64">
        <f t="shared" si="7"/>
        <v>1.072114102</v>
      </c>
      <c r="Y138" s="64">
        <f t="shared" si="7"/>
        <v>1.068765102</v>
      </c>
      <c r="Z138" s="64">
        <f t="shared" si="7"/>
        <v>1.0633841019999999</v>
      </c>
      <c r="AA138" s="64">
        <f t="shared" si="7"/>
        <v>1.0612461019999999</v>
      </c>
      <c r="AB138" s="64">
        <f t="shared" si="7"/>
        <v>1.0556541020000001</v>
      </c>
      <c r="AC138" s="64">
        <f t="shared" si="7"/>
        <v>1.0521931019999999</v>
      </c>
      <c r="AD138" s="64">
        <f t="shared" si="7"/>
        <v>1.048152102</v>
      </c>
      <c r="AE138" s="64">
        <f t="shared" si="7"/>
        <v>1.047838102</v>
      </c>
      <c r="AF138" s="64">
        <f t="shared" si="7"/>
        <v>1.0429931019999998</v>
      </c>
      <c r="AG138" s="64">
        <f t="shared" si="7"/>
        <v>1.041471102</v>
      </c>
      <c r="AH138" s="64">
        <f t="shared" si="7"/>
        <v>1.038807102</v>
      </c>
      <c r="AI138" s="64">
        <f t="shared" si="7"/>
        <v>1.036613102</v>
      </c>
      <c r="AJ138" s="64">
        <f t="shared" si="7"/>
        <v>1.0341861020000001</v>
      </c>
      <c r="AK138" s="62"/>
    </row>
    <row r="139" spans="1:37" s="9" customFormat="1" ht="15" customHeight="1">
      <c r="A139" s="60" t="s">
        <v>117</v>
      </c>
      <c r="B139" s="60"/>
      <c r="C139" s="64">
        <f>Refineries!C109/10^15</f>
        <v>0.78399597200000004</v>
      </c>
      <c r="D139" s="64">
        <f>Refineries!D109/10^15</f>
        <v>0.78241796900000005</v>
      </c>
      <c r="E139" s="64">
        <f>Refineries!E109/10^15</f>
        <v>0.80276788300000002</v>
      </c>
      <c r="F139" s="64">
        <f>Refineries!F109/10^15</f>
        <v>0.83763122599999995</v>
      </c>
      <c r="G139" s="64">
        <f>Refineries!G109/10^15</f>
        <v>0.83894726600000002</v>
      </c>
      <c r="H139" s="64">
        <f>Refineries!H109/10^15</f>
        <v>0.84018133500000003</v>
      </c>
      <c r="I139" s="64">
        <f>Refineries!I109/10^15</f>
        <v>0.841316956</v>
      </c>
      <c r="J139" s="64">
        <f>Refineries!J109/10^15</f>
        <v>0.84453350800000004</v>
      </c>
      <c r="K139" s="64">
        <f>Refineries!K109/10^15</f>
        <v>0.84560510300000002</v>
      </c>
      <c r="L139" s="64">
        <f>Refineries!L109/10^15</f>
        <v>0.84590173300000004</v>
      </c>
      <c r="M139" s="64">
        <f>Refineries!M109/10^15</f>
        <v>0.84611761500000005</v>
      </c>
      <c r="N139" s="64">
        <f>Refineries!N109/10^15</f>
        <v>0.85153051800000001</v>
      </c>
      <c r="O139" s="64">
        <f>Refineries!O109/10^15</f>
        <v>0.85283087199999996</v>
      </c>
      <c r="P139" s="64">
        <f>Refineries!P109/10^15</f>
        <v>0.855325012</v>
      </c>
      <c r="Q139" s="64">
        <f>Refineries!Q109/10^15</f>
        <v>0.84638635299999998</v>
      </c>
      <c r="R139" s="64">
        <f>Refineries!R109/10^15</f>
        <v>0.84730737300000003</v>
      </c>
      <c r="S139" s="64">
        <f>Refineries!S109/10^15</f>
        <v>0.84844592299999999</v>
      </c>
      <c r="T139" s="64">
        <f>Refineries!T109/10^15</f>
        <v>0.84872808799999999</v>
      </c>
      <c r="U139" s="64">
        <f>Refineries!U109/10^15</f>
        <v>0.84877362099999998</v>
      </c>
      <c r="V139" s="64">
        <f>Refineries!V109/10^15</f>
        <v>0.84877972400000001</v>
      </c>
      <c r="W139" s="64">
        <f>Refineries!W109/10^15</f>
        <v>0.84877179000000003</v>
      </c>
      <c r="X139" s="64">
        <f>Refineries!X109/10^15</f>
        <v>0.84874652100000003</v>
      </c>
      <c r="Y139" s="64">
        <f>Refineries!Y109/10^15</f>
        <v>0.84872583000000001</v>
      </c>
      <c r="Z139" s="64">
        <f>Refineries!Z109/10^15</f>
        <v>0.84869793699999996</v>
      </c>
      <c r="AA139" s="64">
        <f>Refineries!AA109/10^15</f>
        <v>0.84870318600000005</v>
      </c>
      <c r="AB139" s="64">
        <f>Refineries!AB109/10^15</f>
        <v>0.84451190200000004</v>
      </c>
      <c r="AC139" s="64">
        <f>Refineries!AC109/10^15</f>
        <v>0.84010711699999996</v>
      </c>
      <c r="AD139" s="64">
        <f>Refineries!AD109/10^15</f>
        <v>0.83893585199999998</v>
      </c>
      <c r="AE139" s="64">
        <f>Refineries!AE109/10^15</f>
        <v>0.83724615499999999</v>
      </c>
      <c r="AF139" s="64">
        <f>Refineries!AF109/10^15</f>
        <v>0.83723962399999996</v>
      </c>
      <c r="AG139" s="64">
        <f>Refineries!AG109/10^15</f>
        <v>0.83722717300000005</v>
      </c>
      <c r="AH139" s="64">
        <f>Refineries!AH109/10^15</f>
        <v>0.837215759</v>
      </c>
      <c r="AI139" s="64">
        <f>Refineries!AI109/10^15</f>
        <v>0.83720562700000001</v>
      </c>
      <c r="AJ139" s="64">
        <f>Refineries!AJ109/10^15</f>
        <v>0.83719421400000005</v>
      </c>
      <c r="AK139" s="62"/>
    </row>
    <row r="140" spans="1:37" s="9" customFormat="1" ht="15" customHeight="1">
      <c r="A140" s="60" t="s">
        <v>336</v>
      </c>
      <c r="B140" s="60"/>
      <c r="C140" s="64">
        <f t="shared" ref="C140:AJ140" si="8">C113</f>
        <v>1.645724</v>
      </c>
      <c r="D140" s="64">
        <f t="shared" si="8"/>
        <v>1.6372070000000001</v>
      </c>
      <c r="E140" s="64">
        <f t="shared" si="8"/>
        <v>1.5788070000000001</v>
      </c>
      <c r="F140" s="64">
        <f t="shared" si="8"/>
        <v>1.6148899999999999</v>
      </c>
      <c r="G140" s="64">
        <f t="shared" si="8"/>
        <v>1.652601</v>
      </c>
      <c r="H140" s="64">
        <f t="shared" si="8"/>
        <v>1.683052</v>
      </c>
      <c r="I140" s="64">
        <f t="shared" si="8"/>
        <v>1.7153099999999999</v>
      </c>
      <c r="J140" s="64">
        <f t="shared" si="8"/>
        <v>1.74841</v>
      </c>
      <c r="K140" s="64">
        <f t="shared" si="8"/>
        <v>1.7841819999999999</v>
      </c>
      <c r="L140" s="64">
        <f t="shared" si="8"/>
        <v>1.8130930000000001</v>
      </c>
      <c r="M140" s="64">
        <f t="shared" si="8"/>
        <v>1.8319639999999999</v>
      </c>
      <c r="N140" s="64">
        <f t="shared" si="8"/>
        <v>1.855602</v>
      </c>
      <c r="O140" s="64">
        <f t="shared" si="8"/>
        <v>1.878374</v>
      </c>
      <c r="P140" s="64">
        <f t="shared" si="8"/>
        <v>1.8951020000000001</v>
      </c>
      <c r="Q140" s="64">
        <f t="shared" si="8"/>
        <v>1.9191549999999999</v>
      </c>
      <c r="R140" s="64">
        <f t="shared" si="8"/>
        <v>1.942777</v>
      </c>
      <c r="S140" s="64">
        <f t="shared" si="8"/>
        <v>1.9699949999999999</v>
      </c>
      <c r="T140" s="64">
        <f t="shared" si="8"/>
        <v>2.005074</v>
      </c>
      <c r="U140" s="64">
        <f t="shared" si="8"/>
        <v>2.0392320000000002</v>
      </c>
      <c r="V140" s="64">
        <f t="shared" si="8"/>
        <v>2.0754999999999999</v>
      </c>
      <c r="W140" s="64">
        <f t="shared" si="8"/>
        <v>2.1121059999999998</v>
      </c>
      <c r="X140" s="64">
        <f t="shared" si="8"/>
        <v>2.14771</v>
      </c>
      <c r="Y140" s="64">
        <f t="shared" si="8"/>
        <v>2.1763690000000002</v>
      </c>
      <c r="Z140" s="64">
        <f t="shared" si="8"/>
        <v>2.2064539999999999</v>
      </c>
      <c r="AA140" s="64">
        <f t="shared" si="8"/>
        <v>2.238407</v>
      </c>
      <c r="AB140" s="64">
        <f t="shared" si="8"/>
        <v>2.2667630000000001</v>
      </c>
      <c r="AC140" s="64">
        <f t="shared" si="8"/>
        <v>2.29358</v>
      </c>
      <c r="AD140" s="64">
        <f t="shared" si="8"/>
        <v>2.326085</v>
      </c>
      <c r="AE140" s="64">
        <f t="shared" si="8"/>
        <v>2.360312</v>
      </c>
      <c r="AF140" s="64">
        <f t="shared" si="8"/>
        <v>2.3952650000000002</v>
      </c>
      <c r="AG140" s="64">
        <f t="shared" si="8"/>
        <v>2.4304290000000002</v>
      </c>
      <c r="AH140" s="64">
        <f t="shared" si="8"/>
        <v>2.463975</v>
      </c>
      <c r="AI140" s="64">
        <f t="shared" si="8"/>
        <v>2.4944060000000001</v>
      </c>
      <c r="AJ140" s="64">
        <f t="shared" si="8"/>
        <v>2.5254989999999999</v>
      </c>
      <c r="AK140" s="62"/>
    </row>
    <row r="141" spans="1:37" s="9" customFormat="1" ht="15" customHeight="1">
      <c r="A141" s="60" t="s">
        <v>337</v>
      </c>
      <c r="B141" s="60"/>
      <c r="C141" s="64">
        <f>C114+Refineries!C108/10^15</f>
        <v>3.2292999890000003</v>
      </c>
      <c r="D141" s="64">
        <f>D114+Refineries!D108/10^15</f>
        <v>3.2380999890000002</v>
      </c>
      <c r="E141" s="64">
        <f>E114+Refineries!E108/10^15</f>
        <v>3.2693999890000001</v>
      </c>
      <c r="F141" s="64">
        <f>F114+Refineries!F108/10^15</f>
        <v>3.3717294790000003</v>
      </c>
      <c r="G141" s="64">
        <f>G114+Refineries!G108/10^15</f>
        <v>3.456704292</v>
      </c>
      <c r="H141" s="64">
        <f>H114+Refineries!H108/10^15</f>
        <v>3.5163384350000002</v>
      </c>
      <c r="I141" s="64">
        <f>I114+Refineries!I108/10^15</f>
        <v>3.568157566</v>
      </c>
      <c r="J141" s="64">
        <f>J114+Refineries!J108/10^15</f>
        <v>3.6209717709999998</v>
      </c>
      <c r="K141" s="64">
        <f>K114+Refineries!K108/10^15</f>
        <v>3.6740749779999997</v>
      </c>
      <c r="L141" s="64">
        <f>L114+Refineries!L108/10^15</f>
        <v>3.713673869</v>
      </c>
      <c r="M141" s="64">
        <f>M114+Refineries!M108/10^15</f>
        <v>3.7518356810000002</v>
      </c>
      <c r="N141" s="64">
        <f>N114+Refineries!N108/10^15</f>
        <v>3.7961715680000001</v>
      </c>
      <c r="O141" s="64">
        <f>O114+Refineries!O108/10^15</f>
        <v>3.8312308000000002</v>
      </c>
      <c r="P141" s="64">
        <f>P114+Refineries!P108/10^15</f>
        <v>3.8458693240000001</v>
      </c>
      <c r="Q141" s="64">
        <f>Q114+Refineries!Q108/10^15</f>
        <v>3.8699014460000001</v>
      </c>
      <c r="R141" s="64">
        <f>R114+Refineries!R108/10^15</f>
        <v>3.8865401790000003</v>
      </c>
      <c r="S141" s="64">
        <f>S114+Refineries!S108/10^15</f>
        <v>3.9023110989999998</v>
      </c>
      <c r="T141" s="64">
        <f>T114+Refineries!T108/10^15</f>
        <v>3.9218335670000002</v>
      </c>
      <c r="U141" s="64">
        <f>U114+Refineries!U108/10^15</f>
        <v>3.9437644769999998</v>
      </c>
      <c r="V141" s="64">
        <f>V114+Refineries!V108/10^15</f>
        <v>3.9683540229999998</v>
      </c>
      <c r="W141" s="64">
        <f>W114+Refineries!W108/10^15</f>
        <v>3.994724352</v>
      </c>
      <c r="X141" s="64">
        <f>X114+Refineries!X108/10^15</f>
        <v>4.0245629989999996</v>
      </c>
      <c r="Y141" s="64">
        <f>Y114+Refineries!Y108/10^15</f>
        <v>4.0462565320000001</v>
      </c>
      <c r="Z141" s="64">
        <f>Z114+Refineries!Z108/10^15</f>
        <v>4.068992615</v>
      </c>
      <c r="AA141" s="64">
        <f>AA114+Refineries!AA108/10^15</f>
        <v>4.0881335089999995</v>
      </c>
      <c r="AB141" s="64">
        <f>AB114+Refineries!AB108/10^15</f>
        <v>4.108580334</v>
      </c>
      <c r="AC141" s="64">
        <f>AC114+Refineries!AC108/10^15</f>
        <v>4.125959087</v>
      </c>
      <c r="AD141" s="64">
        <f>AD114+Refineries!AD108/10^15</f>
        <v>4.1502237690000001</v>
      </c>
      <c r="AE141" s="64">
        <f>AE114+Refineries!AE108/10^15</f>
        <v>4.1773821179999997</v>
      </c>
      <c r="AF141" s="64">
        <f>AF114+Refineries!AF108/10^15</f>
        <v>4.2074885470000005</v>
      </c>
      <c r="AG141" s="64">
        <f>AG114+Refineries!AG108/10^15</f>
        <v>4.2332453169999997</v>
      </c>
      <c r="AH141" s="64">
        <f>AH114+Refineries!AH108/10^15</f>
        <v>4.2608797449999996</v>
      </c>
      <c r="AI141" s="64">
        <f>AI114+Refineries!AI108/10^15</f>
        <v>4.2817559210000002</v>
      </c>
      <c r="AJ141" s="64">
        <f>AJ114+Refineries!AJ108/10^15</f>
        <v>4.3060316890000001</v>
      </c>
      <c r="AK141" s="62"/>
    </row>
    <row r="142" spans="1:37" s="9" customFormat="1" ht="15" customHeight="1">
      <c r="A142" s="59" t="s">
        <v>57</v>
      </c>
      <c r="B142" s="92"/>
      <c r="C142" s="64">
        <f>SUM(C138,C135,C130,C120)</f>
        <v>55.546894288477027</v>
      </c>
      <c r="D142" s="64">
        <f t="shared" ref="D142:AJ142" si="9">SUM(D138,D135,D130,D120)</f>
        <v>57.223540937286444</v>
      </c>
      <c r="E142" s="64">
        <f t="shared" si="9"/>
        <v>58.296435673387663</v>
      </c>
      <c r="F142" s="64">
        <f t="shared" si="9"/>
        <v>59.711280704707384</v>
      </c>
      <c r="G142" s="64">
        <f t="shared" si="9"/>
        <v>59.377849059695109</v>
      </c>
      <c r="H142" s="64">
        <f t="shared" si="9"/>
        <v>59.799391532376539</v>
      </c>
      <c r="I142" s="64">
        <f t="shared" si="9"/>
        <v>59.885410826046517</v>
      </c>
      <c r="J142" s="64">
        <f t="shared" si="9"/>
        <v>59.953125934073135</v>
      </c>
      <c r="K142" s="64">
        <f t="shared" si="9"/>
        <v>59.630103436692693</v>
      </c>
      <c r="L142" s="64">
        <f t="shared" si="9"/>
        <v>59.544171429097567</v>
      </c>
      <c r="M142" s="64">
        <f t="shared" si="9"/>
        <v>59.791820153674493</v>
      </c>
      <c r="N142" s="64">
        <f t="shared" si="9"/>
        <v>60.118965803059204</v>
      </c>
      <c r="O142" s="64">
        <f t="shared" si="9"/>
        <v>60.198323996704019</v>
      </c>
      <c r="P142" s="64">
        <f t="shared" si="9"/>
        <v>60.235090288271536</v>
      </c>
      <c r="Q142" s="64">
        <f t="shared" si="9"/>
        <v>60.43281811408454</v>
      </c>
      <c r="R142" s="64">
        <f t="shared" si="9"/>
        <v>60.525639709259842</v>
      </c>
      <c r="S142" s="64">
        <f t="shared" si="9"/>
        <v>60.431154138953161</v>
      </c>
      <c r="T142" s="64">
        <f t="shared" si="9"/>
        <v>60.521751874178563</v>
      </c>
      <c r="U142" s="64">
        <f t="shared" si="9"/>
        <v>60.652550870568305</v>
      </c>
      <c r="V142" s="64">
        <f t="shared" si="9"/>
        <v>60.807529317264759</v>
      </c>
      <c r="W142" s="64">
        <f t="shared" si="9"/>
        <v>61.094912594193332</v>
      </c>
      <c r="X142" s="64">
        <f t="shared" si="9"/>
        <v>61.369169433293536</v>
      </c>
      <c r="Y142" s="64">
        <f t="shared" si="9"/>
        <v>61.356549280669121</v>
      </c>
      <c r="Z142" s="64">
        <f t="shared" si="9"/>
        <v>61.49322442393192</v>
      </c>
      <c r="AA142" s="64">
        <f t="shared" si="9"/>
        <v>61.696504147089549</v>
      </c>
      <c r="AB142" s="64">
        <f t="shared" si="9"/>
        <v>61.979208450637074</v>
      </c>
      <c r="AC142" s="64">
        <f t="shared" si="9"/>
        <v>62.061004512997883</v>
      </c>
      <c r="AD142" s="64">
        <f t="shared" si="9"/>
        <v>62.352700251665809</v>
      </c>
      <c r="AE142" s="64">
        <f t="shared" si="9"/>
        <v>62.614733053209378</v>
      </c>
      <c r="AF142" s="64">
        <f t="shared" si="9"/>
        <v>62.927517189668265</v>
      </c>
      <c r="AG142" s="64">
        <f t="shared" si="9"/>
        <v>63.069341688428608</v>
      </c>
      <c r="AH142" s="64">
        <f t="shared" si="9"/>
        <v>63.3371497569971</v>
      </c>
      <c r="AI142" s="64">
        <f t="shared" si="9"/>
        <v>63.221161885617747</v>
      </c>
      <c r="AJ142" s="64">
        <f t="shared" si="9"/>
        <v>63.406488005536239</v>
      </c>
      <c r="AK142" s="66"/>
    </row>
    <row r="143" spans="1:37" s="9" customFormat="1" ht="15" customHeight="1">
      <c r="A143" s="60" t="s">
        <v>58</v>
      </c>
      <c r="B143" s="60"/>
      <c r="C143" s="64">
        <f t="shared" ref="C143:AJ143" si="10">C116</f>
        <v>5.9662170000000003</v>
      </c>
      <c r="D143" s="64">
        <f t="shared" si="10"/>
        <v>5.907546</v>
      </c>
      <c r="E143" s="64">
        <f t="shared" si="10"/>
        <v>5.9017439999999999</v>
      </c>
      <c r="F143" s="64">
        <f t="shared" si="10"/>
        <v>6.0078259999999997</v>
      </c>
      <c r="G143" s="64">
        <f t="shared" si="10"/>
        <v>6.04575</v>
      </c>
      <c r="H143" s="64">
        <f t="shared" si="10"/>
        <v>6.0443759999999997</v>
      </c>
      <c r="I143" s="64">
        <f t="shared" si="10"/>
        <v>6.0469099999999996</v>
      </c>
      <c r="J143" s="64">
        <f t="shared" si="10"/>
        <v>6.0985199999999997</v>
      </c>
      <c r="K143" s="64">
        <f t="shared" si="10"/>
        <v>6.119872</v>
      </c>
      <c r="L143" s="64">
        <f t="shared" si="10"/>
        <v>6.1287900000000004</v>
      </c>
      <c r="M143" s="64">
        <f t="shared" si="10"/>
        <v>6.1445460000000001</v>
      </c>
      <c r="N143" s="64">
        <f t="shared" si="10"/>
        <v>6.168374</v>
      </c>
      <c r="O143" s="64">
        <f t="shared" si="10"/>
        <v>6.2107929999999998</v>
      </c>
      <c r="P143" s="64">
        <f t="shared" si="10"/>
        <v>6.2025030000000001</v>
      </c>
      <c r="Q143" s="64">
        <f t="shared" si="10"/>
        <v>6.1975600000000002</v>
      </c>
      <c r="R143" s="64">
        <f t="shared" si="10"/>
        <v>6.15313</v>
      </c>
      <c r="S143" s="64">
        <f t="shared" si="10"/>
        <v>6.1425590000000003</v>
      </c>
      <c r="T143" s="64">
        <f t="shared" si="10"/>
        <v>6.1194199999999999</v>
      </c>
      <c r="U143" s="64">
        <f t="shared" si="10"/>
        <v>6.1260810000000001</v>
      </c>
      <c r="V143" s="64">
        <f t="shared" si="10"/>
        <v>6.1462719999999997</v>
      </c>
      <c r="W143" s="64">
        <f t="shared" si="10"/>
        <v>6.1499959999999998</v>
      </c>
      <c r="X143" s="64">
        <f t="shared" si="10"/>
        <v>6.1694620000000002</v>
      </c>
      <c r="Y143" s="64">
        <f t="shared" si="10"/>
        <v>6.1826869999999996</v>
      </c>
      <c r="Z143" s="64">
        <f t="shared" si="10"/>
        <v>6.1891829999999999</v>
      </c>
      <c r="AA143" s="64">
        <f t="shared" si="10"/>
        <v>6.1898650000000002</v>
      </c>
      <c r="AB143" s="64">
        <f t="shared" si="10"/>
        <v>6.1915480000000001</v>
      </c>
      <c r="AC143" s="64">
        <f t="shared" si="10"/>
        <v>6.1867590000000003</v>
      </c>
      <c r="AD143" s="64">
        <f t="shared" si="10"/>
        <v>6.1949759999999996</v>
      </c>
      <c r="AE143" s="64">
        <f t="shared" si="10"/>
        <v>6.2063170000000003</v>
      </c>
      <c r="AF143" s="64">
        <f t="shared" si="10"/>
        <v>6.2280620000000004</v>
      </c>
      <c r="AG143" s="64">
        <f t="shared" si="10"/>
        <v>6.2516470000000002</v>
      </c>
      <c r="AH143" s="64">
        <f t="shared" si="10"/>
        <v>6.2743890000000002</v>
      </c>
      <c r="AI143" s="64">
        <f t="shared" si="10"/>
        <v>6.291906</v>
      </c>
      <c r="AJ143" s="64">
        <f t="shared" si="10"/>
        <v>6.3091600000000003</v>
      </c>
      <c r="AK143" s="62"/>
    </row>
    <row r="144" spans="1:37" s="5" customFormat="1">
      <c r="A144" s="59" t="s">
        <v>59</v>
      </c>
      <c r="B144" s="92"/>
      <c r="C144" s="64">
        <f>C142+C143</f>
        <v>61.513111288477027</v>
      </c>
      <c r="D144" s="64">
        <f t="shared" ref="D144:AJ144" si="11">D142+D143</f>
        <v>63.13108693728644</v>
      </c>
      <c r="E144" s="64">
        <f t="shared" si="11"/>
        <v>64.198179673387656</v>
      </c>
      <c r="F144" s="64">
        <f t="shared" si="11"/>
        <v>65.719106704707386</v>
      </c>
      <c r="G144" s="64">
        <f t="shared" si="11"/>
        <v>65.423599059695107</v>
      </c>
      <c r="H144" s="64">
        <f t="shared" si="11"/>
        <v>65.843767532376546</v>
      </c>
      <c r="I144" s="64">
        <f t="shared" si="11"/>
        <v>65.932320826046521</v>
      </c>
      <c r="J144" s="64">
        <f t="shared" si="11"/>
        <v>66.051645934073136</v>
      </c>
      <c r="K144" s="64">
        <f t="shared" si="11"/>
        <v>65.749975436692694</v>
      </c>
      <c r="L144" s="64">
        <f t="shared" si="11"/>
        <v>65.672961429097569</v>
      </c>
      <c r="M144" s="64">
        <f t="shared" si="11"/>
        <v>65.936366153674498</v>
      </c>
      <c r="N144" s="64">
        <f t="shared" si="11"/>
        <v>66.287339803059211</v>
      </c>
      <c r="O144" s="64">
        <f t="shared" si="11"/>
        <v>66.409116996704014</v>
      </c>
      <c r="P144" s="64">
        <f t="shared" si="11"/>
        <v>66.437593288271529</v>
      </c>
      <c r="Q144" s="64">
        <f t="shared" si="11"/>
        <v>66.630378114084536</v>
      </c>
      <c r="R144" s="64">
        <f t="shared" si="11"/>
        <v>66.678769709259839</v>
      </c>
      <c r="S144" s="64">
        <f t="shared" si="11"/>
        <v>66.573713138953167</v>
      </c>
      <c r="T144" s="64">
        <f t="shared" si="11"/>
        <v>66.641171874178568</v>
      </c>
      <c r="U144" s="64">
        <f t="shared" si="11"/>
        <v>66.778631870568304</v>
      </c>
      <c r="V144" s="64">
        <f t="shared" si="11"/>
        <v>66.953801317264762</v>
      </c>
      <c r="W144" s="64">
        <f t="shared" si="11"/>
        <v>67.244908594193333</v>
      </c>
      <c r="X144" s="64">
        <f t="shared" si="11"/>
        <v>67.538631433293531</v>
      </c>
      <c r="Y144" s="64">
        <f t="shared" si="11"/>
        <v>67.539236280669115</v>
      </c>
      <c r="Z144" s="64">
        <f t="shared" si="11"/>
        <v>67.68240742393192</v>
      </c>
      <c r="AA144" s="64">
        <f t="shared" si="11"/>
        <v>67.886369147089553</v>
      </c>
      <c r="AB144" s="64">
        <f t="shared" si="11"/>
        <v>68.170756450637072</v>
      </c>
      <c r="AC144" s="64">
        <f t="shared" si="11"/>
        <v>68.247763512997878</v>
      </c>
      <c r="AD144" s="64">
        <f t="shared" si="11"/>
        <v>68.547676251665806</v>
      </c>
      <c r="AE144" s="64">
        <f t="shared" si="11"/>
        <v>68.821050053209376</v>
      </c>
      <c r="AF144" s="64">
        <f t="shared" si="11"/>
        <v>69.155579189668259</v>
      </c>
      <c r="AG144" s="64">
        <f t="shared" si="11"/>
        <v>69.320988688428614</v>
      </c>
      <c r="AH144" s="64">
        <f t="shared" si="11"/>
        <v>69.611538756997106</v>
      </c>
      <c r="AI144" s="64">
        <f t="shared" si="11"/>
        <v>69.513067885617744</v>
      </c>
      <c r="AJ144" s="64">
        <f t="shared" si="11"/>
        <v>69.715648005536238</v>
      </c>
      <c r="AK144" s="66"/>
    </row>
    <row r="145" spans="1:36" s="5" customFormat="1"/>
    <row r="146" spans="1:36" s="5" customFormat="1">
      <c r="A146" s="5" t="s">
        <v>1344</v>
      </c>
      <c r="C146" s="24">
        <f>SUM(C131:C132)</f>
        <v>8.9224545670000008</v>
      </c>
      <c r="D146" s="24">
        <f t="shared" ref="D146:AJ146" si="12">SUM(D131:D132)</f>
        <v>9.2388775899999995</v>
      </c>
      <c r="E146" s="24">
        <f t="shared" si="12"/>
        <v>9.206015343999999</v>
      </c>
      <c r="F146" s="24">
        <f t="shared" si="12"/>
        <v>9.4275464160000002</v>
      </c>
      <c r="G146" s="24">
        <f t="shared" si="12"/>
        <v>9.6137878160000003</v>
      </c>
      <c r="H146" s="24">
        <f t="shared" si="12"/>
        <v>9.7822383539999986</v>
      </c>
      <c r="I146" s="24">
        <f t="shared" si="12"/>
        <v>9.9161652989999993</v>
      </c>
      <c r="J146" s="24">
        <f t="shared" si="12"/>
        <v>10.039503121000001</v>
      </c>
      <c r="K146" s="24">
        <f t="shared" si="12"/>
        <v>10.094134324999999</v>
      </c>
      <c r="L146" s="24">
        <f t="shared" si="12"/>
        <v>10.181485686</v>
      </c>
      <c r="M146" s="24">
        <f t="shared" si="12"/>
        <v>10.23444316</v>
      </c>
      <c r="N146" s="24">
        <f t="shared" si="12"/>
        <v>10.340718745</v>
      </c>
      <c r="O146" s="24">
        <f t="shared" si="12"/>
        <v>10.367525968999999</v>
      </c>
      <c r="P146" s="24">
        <f t="shared" si="12"/>
        <v>10.404870373000001</v>
      </c>
      <c r="Q146" s="24">
        <f t="shared" si="12"/>
        <v>10.435711088</v>
      </c>
      <c r="R146" s="24">
        <f t="shared" si="12"/>
        <v>10.461858895000001</v>
      </c>
      <c r="S146" s="24">
        <f t="shared" si="12"/>
        <v>10.465268250999999</v>
      </c>
      <c r="T146" s="24">
        <f t="shared" si="12"/>
        <v>10.488346192</v>
      </c>
      <c r="U146" s="24">
        <f t="shared" si="12"/>
        <v>10.540816011</v>
      </c>
      <c r="V146" s="24">
        <f t="shared" si="12"/>
        <v>10.598009117999998</v>
      </c>
      <c r="W146" s="24">
        <f t="shared" si="12"/>
        <v>10.637285769</v>
      </c>
      <c r="X146" s="24">
        <f t="shared" si="12"/>
        <v>10.729140263</v>
      </c>
      <c r="Y146" s="24">
        <f t="shared" si="12"/>
        <v>10.78354562</v>
      </c>
      <c r="Z146" s="24">
        <f t="shared" si="12"/>
        <v>10.836974183999999</v>
      </c>
      <c r="AA146" s="24">
        <f t="shared" si="12"/>
        <v>10.902347648999999</v>
      </c>
      <c r="AB146" s="24">
        <f t="shared" si="12"/>
        <v>10.946537408999999</v>
      </c>
      <c r="AC146" s="24">
        <f t="shared" si="12"/>
        <v>11.003562372999999</v>
      </c>
      <c r="AD146" s="24">
        <f t="shared" si="12"/>
        <v>11.046888064999999</v>
      </c>
      <c r="AE146" s="24">
        <f t="shared" si="12"/>
        <v>11.167203669999999</v>
      </c>
      <c r="AF146" s="24">
        <f>SUM(AF131:AF132)</f>
        <v>11.195251232999999</v>
      </c>
      <c r="AG146" s="24">
        <f t="shared" si="12"/>
        <v>11.260983704000001</v>
      </c>
      <c r="AH146" s="24">
        <f t="shared" si="12"/>
        <v>11.334133612</v>
      </c>
      <c r="AI146" s="24">
        <f t="shared" si="12"/>
        <v>11.405878675</v>
      </c>
      <c r="AJ146" s="24">
        <f t="shared" si="12"/>
        <v>11.472051036</v>
      </c>
    </row>
    <row r="147" spans="1:36" s="5" customFormat="1"/>
    <row r="148" spans="1:36" s="5" customFormat="1">
      <c r="B148" s="60" t="str">
        <f>B127</f>
        <v>Petroleum Diesel</v>
      </c>
      <c r="C148" s="24">
        <f>C123+C124+C127+C128</f>
        <v>2.8765985379999996</v>
      </c>
      <c r="D148" s="24">
        <f t="shared" ref="D148:AJ148" si="13">D123+D124+D127+D128</f>
        <v>2.9633503280000002</v>
      </c>
      <c r="E148" s="24">
        <f t="shared" si="13"/>
        <v>3.0262032449999996</v>
      </c>
      <c r="F148" s="24">
        <f t="shared" si="13"/>
        <v>3.0576500170000003</v>
      </c>
      <c r="G148" s="24">
        <f t="shared" si="13"/>
        <v>3.0738270769999998</v>
      </c>
      <c r="H148" s="24">
        <f t="shared" si="13"/>
        <v>3.0922149990000003</v>
      </c>
      <c r="I148" s="24">
        <f t="shared" si="13"/>
        <v>3.0882996149999995</v>
      </c>
      <c r="J148" s="24">
        <f t="shared" si="13"/>
        <v>3.0876000829999999</v>
      </c>
      <c r="K148" s="24">
        <f t="shared" si="13"/>
        <v>3.1016469470000003</v>
      </c>
      <c r="L148" s="24">
        <f t="shared" si="13"/>
        <v>3.1174987869999997</v>
      </c>
      <c r="M148" s="24">
        <f t="shared" si="13"/>
        <v>3.1305665899999999</v>
      </c>
      <c r="N148" s="24">
        <f t="shared" si="13"/>
        <v>3.1504338380000001</v>
      </c>
      <c r="O148" s="24">
        <f t="shared" si="13"/>
        <v>3.17463001</v>
      </c>
      <c r="P148" s="24">
        <f t="shared" si="13"/>
        <v>3.2089136490000003</v>
      </c>
      <c r="Q148" s="24">
        <f t="shared" si="13"/>
        <v>3.2466729990000003</v>
      </c>
      <c r="R148" s="24">
        <f t="shared" si="13"/>
        <v>3.2795821579999993</v>
      </c>
      <c r="S148" s="24">
        <f t="shared" si="13"/>
        <v>3.3139783989999998</v>
      </c>
      <c r="T148" s="24">
        <f t="shared" si="13"/>
        <v>3.3507619270000002</v>
      </c>
      <c r="U148" s="24">
        <f t="shared" si="13"/>
        <v>3.3866506780000005</v>
      </c>
      <c r="V148" s="24">
        <f t="shared" si="13"/>
        <v>3.4239584520000004</v>
      </c>
      <c r="W148" s="24">
        <f t="shared" si="13"/>
        <v>3.4636837140000001</v>
      </c>
      <c r="X148" s="24">
        <f t="shared" si="13"/>
        <v>3.5040533859999998</v>
      </c>
      <c r="Y148" s="24">
        <f t="shared" si="13"/>
        <v>3.5399650190000003</v>
      </c>
      <c r="Z148" s="24">
        <f t="shared" si="13"/>
        <v>3.5805134000000001</v>
      </c>
      <c r="AA148" s="24">
        <f t="shared" si="13"/>
        <v>3.6224230159999999</v>
      </c>
      <c r="AB148" s="24">
        <f t="shared" si="13"/>
        <v>3.663606616</v>
      </c>
      <c r="AC148" s="24">
        <f t="shared" si="13"/>
        <v>3.7052378729999997</v>
      </c>
      <c r="AD148" s="24">
        <f t="shared" si="13"/>
        <v>3.75089732</v>
      </c>
      <c r="AE148" s="24">
        <f t="shared" si="13"/>
        <v>3.7968967759999996</v>
      </c>
      <c r="AF148" s="24">
        <f t="shared" si="13"/>
        <v>3.8445768420000004</v>
      </c>
      <c r="AG148" s="24">
        <f t="shared" si="13"/>
        <v>3.8931821600000003</v>
      </c>
      <c r="AH148" s="24">
        <f t="shared" si="13"/>
        <v>3.9428444950000006</v>
      </c>
      <c r="AI148" s="24">
        <f t="shared" si="13"/>
        <v>3.9887915440000006</v>
      </c>
      <c r="AJ148" s="24">
        <f t="shared" si="13"/>
        <v>4.0376884029999998</v>
      </c>
    </row>
    <row r="149" spans="1:36" s="5" customFormat="1">
      <c r="B149" s="60" t="str">
        <f>B129</f>
        <v>Heavy or Residual Oil</v>
      </c>
      <c r="C149" s="24">
        <f>C125+C129</f>
        <v>0.52093837499999995</v>
      </c>
      <c r="D149" s="24">
        <f t="shared" ref="D149:AJ149" si="14">D125+D129</f>
        <v>0.52777485899999999</v>
      </c>
      <c r="E149" s="24">
        <f t="shared" si="14"/>
        <v>0.53999435399999995</v>
      </c>
      <c r="F149" s="24">
        <f t="shared" si="14"/>
        <v>0.501456448</v>
      </c>
      <c r="G149" s="24">
        <f t="shared" si="14"/>
        <v>0.46595263200000003</v>
      </c>
      <c r="H149" s="24">
        <f t="shared" si="14"/>
        <v>0.44612642999999996</v>
      </c>
      <c r="I149" s="24">
        <f t="shared" si="14"/>
        <v>0.42822907200000004</v>
      </c>
      <c r="J149" s="24">
        <f t="shared" si="14"/>
        <v>0.41281145299999999</v>
      </c>
      <c r="K149" s="24">
        <f t="shared" si="14"/>
        <v>0.41834659899999999</v>
      </c>
      <c r="L149" s="24">
        <f t="shared" si="14"/>
        <v>0.416195396</v>
      </c>
      <c r="M149" s="24">
        <f t="shared" si="14"/>
        <v>0.41051423799999998</v>
      </c>
      <c r="N149" s="24">
        <f t="shared" si="14"/>
        <v>0.41137462400000002</v>
      </c>
      <c r="O149" s="24">
        <f t="shared" si="14"/>
        <v>0.40765204700000002</v>
      </c>
      <c r="P149" s="24">
        <f t="shared" si="14"/>
        <v>0.40770126800000001</v>
      </c>
      <c r="Q149" s="24">
        <f t="shared" si="14"/>
        <v>0.40653488900000001</v>
      </c>
      <c r="R149" s="24">
        <f t="shared" si="14"/>
        <v>0.40954361799999994</v>
      </c>
      <c r="S149" s="24">
        <f t="shared" si="14"/>
        <v>0.411434619</v>
      </c>
      <c r="T149" s="24">
        <f t="shared" si="14"/>
        <v>0.41163572599999998</v>
      </c>
      <c r="U149" s="24">
        <f t="shared" si="14"/>
        <v>0.41251128100000001</v>
      </c>
      <c r="V149" s="24">
        <f t="shared" si="14"/>
        <v>0.41369621899999998</v>
      </c>
      <c r="W149" s="24">
        <f t="shared" si="14"/>
        <v>0.41472903100000003</v>
      </c>
      <c r="X149" s="24">
        <f t="shared" si="14"/>
        <v>0.41572695500000001</v>
      </c>
      <c r="Y149" s="24">
        <f t="shared" si="14"/>
        <v>0.41572046200000001</v>
      </c>
      <c r="Z149" s="24">
        <f t="shared" si="14"/>
        <v>0.41686075099999997</v>
      </c>
      <c r="AA149" s="24">
        <f t="shared" si="14"/>
        <v>0.41676630000000003</v>
      </c>
      <c r="AB149" s="24">
        <f t="shared" si="14"/>
        <v>0.41681818399999998</v>
      </c>
      <c r="AC149" s="24">
        <f t="shared" si="14"/>
        <v>0.41838541200000001</v>
      </c>
      <c r="AD149" s="24">
        <f t="shared" si="14"/>
        <v>0.42173358300000002</v>
      </c>
      <c r="AE149" s="24">
        <f t="shared" si="14"/>
        <v>0.42412253</v>
      </c>
      <c r="AF149" s="24">
        <f t="shared" si="14"/>
        <v>0.42668770500000003</v>
      </c>
      <c r="AG149" s="24">
        <f t="shared" si="14"/>
        <v>0.42958820100000006</v>
      </c>
      <c r="AH149" s="24">
        <f t="shared" si="14"/>
        <v>0.43457813000000001</v>
      </c>
      <c r="AI149" s="24">
        <f t="shared" si="14"/>
        <v>0.43824544999999998</v>
      </c>
      <c r="AJ149" s="24">
        <f t="shared" si="14"/>
        <v>0.44252498899999998</v>
      </c>
    </row>
    <row r="150" spans="1:36" s="5" customFormat="1">
      <c r="B150" s="5" t="str">
        <f>B126</f>
        <v>LPG/propane/butane</v>
      </c>
      <c r="C150" s="24">
        <f>C121+C122+C126</f>
        <v>3.4894720000000001</v>
      </c>
      <c r="D150" s="24">
        <f t="shared" ref="D150:AJ150" si="15">D121+D122+D126</f>
        <v>3.752872</v>
      </c>
      <c r="E150" s="24">
        <f t="shared" si="15"/>
        <v>3.9226719999999999</v>
      </c>
      <c r="F150" s="24">
        <f t="shared" si="15"/>
        <v>3.8622730000000001</v>
      </c>
      <c r="G150" s="24">
        <f t="shared" si="15"/>
        <v>4.1188900000000004</v>
      </c>
      <c r="H150" s="24">
        <f t="shared" si="15"/>
        <v>4.2588360000000005</v>
      </c>
      <c r="I150" s="24">
        <f t="shared" si="15"/>
        <v>4.3561180000000004</v>
      </c>
      <c r="J150" s="24">
        <f t="shared" si="15"/>
        <v>4.4712870000000002</v>
      </c>
      <c r="K150" s="24">
        <f t="shared" si="15"/>
        <v>4.5529000000000002</v>
      </c>
      <c r="L150" s="24">
        <f t="shared" si="15"/>
        <v>4.6096960000000005</v>
      </c>
      <c r="M150" s="24">
        <f t="shared" si="15"/>
        <v>4.7359049999999998</v>
      </c>
      <c r="N150" s="24">
        <f t="shared" si="15"/>
        <v>4.8102220000000004</v>
      </c>
      <c r="O150" s="24">
        <f t="shared" si="15"/>
        <v>4.9126690000000002</v>
      </c>
      <c r="P150" s="24">
        <f t="shared" si="15"/>
        <v>4.957554</v>
      </c>
      <c r="Q150" s="24">
        <f t="shared" si="15"/>
        <v>5.0294639999999999</v>
      </c>
      <c r="R150" s="24">
        <f t="shared" si="15"/>
        <v>5.102455</v>
      </c>
      <c r="S150" s="24">
        <f t="shared" si="15"/>
        <v>5.1570090000000004</v>
      </c>
      <c r="T150" s="24">
        <f t="shared" si="15"/>
        <v>5.1497669999999998</v>
      </c>
      <c r="U150" s="24">
        <f t="shared" si="15"/>
        <v>5.1893180000000001</v>
      </c>
      <c r="V150" s="24">
        <f t="shared" si="15"/>
        <v>5.2459759999999998</v>
      </c>
      <c r="W150" s="24">
        <f t="shared" si="15"/>
        <v>5.2642280000000001</v>
      </c>
      <c r="X150" s="24">
        <f t="shared" si="15"/>
        <v>5.3468269999999993</v>
      </c>
      <c r="Y150" s="24">
        <f t="shared" si="15"/>
        <v>5.3900779999999999</v>
      </c>
      <c r="Z150" s="24">
        <f t="shared" si="15"/>
        <v>5.4134679999999999</v>
      </c>
      <c r="AA150" s="24">
        <f t="shared" si="15"/>
        <v>5.4574449999999999</v>
      </c>
      <c r="AB150" s="24">
        <f t="shared" si="15"/>
        <v>5.5087150000000005</v>
      </c>
      <c r="AC150" s="24">
        <f t="shared" si="15"/>
        <v>5.5012300000000005</v>
      </c>
      <c r="AD150" s="24">
        <f t="shared" si="15"/>
        <v>5.5411300000000008</v>
      </c>
      <c r="AE150" s="24">
        <f t="shared" si="15"/>
        <v>5.5638900000000007</v>
      </c>
      <c r="AF150" s="24">
        <f t="shared" si="15"/>
        <v>5.6025920000000005</v>
      </c>
      <c r="AG150" s="24">
        <f t="shared" si="15"/>
        <v>5.6403750000000006</v>
      </c>
      <c r="AH150" s="24">
        <f t="shared" si="15"/>
        <v>5.7148400000000006</v>
      </c>
      <c r="AI150" s="24">
        <f t="shared" si="15"/>
        <v>5.7247970000000006</v>
      </c>
      <c r="AJ150" s="24">
        <f t="shared" si="15"/>
        <v>5.7681560000000003</v>
      </c>
    </row>
    <row r="151" spans="1:36" s="5" customFormat="1"/>
    <row r="152" spans="1:36" s="5" customFormat="1"/>
    <row r="153" spans="1:36" s="5" customFormat="1">
      <c r="B153" s="60"/>
    </row>
    <row r="154" spans="1:36" s="5" customFormat="1"/>
    <row r="155" spans="1:36" s="5" customFormat="1"/>
    <row r="156" spans="1:36" s="5" customFormat="1"/>
    <row r="157" spans="1:36" s="5" customFormat="1"/>
    <row r="158" spans="1:36" s="5" customFormat="1"/>
    <row r="159" spans="1:36" s="5" customFormat="1"/>
    <row r="160" spans="1:36" s="5" customFormat="1"/>
    <row r="161" spans="1:36" s="5" customFormat="1"/>
    <row r="162" spans="1:36" s="5" customFormat="1"/>
    <row r="163" spans="1:36" s="5" customFormat="1"/>
    <row r="164" spans="1:36">
      <c r="A164" t="s">
        <v>125</v>
      </c>
      <c r="C164" s="29">
        <f t="shared" ref="C164:AJ164" si="16">C114-C106-C112</f>
        <v>1.1086670000000001</v>
      </c>
      <c r="D164" s="29">
        <f t="shared" si="16"/>
        <v>1.0456819999999998</v>
      </c>
      <c r="E164" s="29">
        <f t="shared" si="16"/>
        <v>1.0097049999999999</v>
      </c>
      <c r="F164" s="29">
        <f t="shared" si="16"/>
        <v>1.1289720000000001</v>
      </c>
      <c r="G164" s="29">
        <f t="shared" si="16"/>
        <v>1.2269049999999997</v>
      </c>
      <c r="H164" s="29">
        <f t="shared" si="16"/>
        <v>1.2723870000000004</v>
      </c>
      <c r="I164" s="29">
        <f t="shared" si="16"/>
        <v>1.3135410000000001</v>
      </c>
      <c r="J164" s="29">
        <f t="shared" si="16"/>
        <v>1.3467179999999999</v>
      </c>
      <c r="K164" s="29">
        <f t="shared" si="16"/>
        <v>1.3816580000000001</v>
      </c>
      <c r="L164" s="29">
        <f t="shared" si="16"/>
        <v>1.4130450000000001</v>
      </c>
      <c r="M164" s="29">
        <f t="shared" si="16"/>
        <v>1.4425150000000002</v>
      </c>
      <c r="N164" s="29">
        <f t="shared" si="16"/>
        <v>1.4719570000000002</v>
      </c>
      <c r="O164" s="29">
        <f t="shared" si="16"/>
        <v>1.5070469999999998</v>
      </c>
      <c r="P164" s="29">
        <f t="shared" si="16"/>
        <v>1.5262339999999999</v>
      </c>
      <c r="Q164" s="29">
        <f t="shared" si="16"/>
        <v>1.5477300000000001</v>
      </c>
      <c r="R164" s="29">
        <f t="shared" si="16"/>
        <v>1.5586</v>
      </c>
      <c r="S164" s="29">
        <f t="shared" si="16"/>
        <v>1.5796060000000001</v>
      </c>
      <c r="T164" s="29">
        <f t="shared" si="16"/>
        <v>1.599086</v>
      </c>
      <c r="U164" s="29">
        <f t="shared" si="16"/>
        <v>1.6253929999999999</v>
      </c>
      <c r="V164" s="29">
        <f t="shared" si="16"/>
        <v>1.6447729999999998</v>
      </c>
      <c r="W164" s="29">
        <f t="shared" si="16"/>
        <v>1.6616419999999998</v>
      </c>
      <c r="X164" s="29">
        <f t="shared" si="16"/>
        <v>1.681395</v>
      </c>
      <c r="Y164" s="29">
        <f t="shared" si="16"/>
        <v>1.7024090000000001</v>
      </c>
      <c r="Z164" s="29">
        <f t="shared" si="16"/>
        <v>1.7264360000000001</v>
      </c>
      <c r="AA164" s="29">
        <f t="shared" si="16"/>
        <v>1.7452179999999999</v>
      </c>
      <c r="AB164" s="29">
        <f t="shared" si="16"/>
        <v>1.7685549999999994</v>
      </c>
      <c r="AC164" s="29">
        <f t="shared" si="16"/>
        <v>1.7885449999999998</v>
      </c>
      <c r="AD164" s="29">
        <f t="shared" si="16"/>
        <v>1.8115990000000002</v>
      </c>
      <c r="AE164" s="29">
        <f t="shared" si="16"/>
        <v>1.8345100000000001</v>
      </c>
      <c r="AF164" s="29">
        <f t="shared" si="16"/>
        <v>1.8653210000000002</v>
      </c>
      <c r="AG164" s="29">
        <f t="shared" si="16"/>
        <v>1.887953</v>
      </c>
      <c r="AH164" s="29">
        <f t="shared" si="16"/>
        <v>1.9105089999999996</v>
      </c>
      <c r="AI164" s="29">
        <f t="shared" si="16"/>
        <v>1.9315519999999999</v>
      </c>
      <c r="AJ164" s="29">
        <f t="shared" si="16"/>
        <v>1.9537960000000001</v>
      </c>
    </row>
    <row r="165" spans="1:36">
      <c r="A165" t="s">
        <v>124</v>
      </c>
      <c r="C165" s="29">
        <f>SUM('BIFUbC-electricity'!B2:B9,'BIFUbC-coal'!B2:B9,'BIFUbC-natural-gas'!B2:B9,'BIFUbC-biomass'!B2:B9,'BIFUbC-petroleum-diesel'!B2:B9,'BIFUbC-heat'!B2:B9,'BIFUbC-crude-oil'!B2:B9,'BIFUbC-heavy-or-residual-oil'!B2:B9,'BIFUbC-LPG-propane-or-butane'!B2:B9,'BIFUbC-hydrogen'!B2:B9)/10^15</f>
        <v>16.757863484999994</v>
      </c>
      <c r="D165" s="29">
        <f>SUM('BIFUbC-electricity'!C2:C9,'BIFUbC-coal'!C2:C9,'BIFUbC-natural-gas'!C2:C9,'BIFUbC-biomass'!C2:C9,'BIFUbC-petroleum-diesel'!C2:C9,'BIFUbC-heat'!C2:C9,'BIFUbC-crude-oil'!C2:C9,'BIFUbC-heavy-or-residual-oil'!C2:C9,'BIFUbC-LPG-propane-or-butane'!C2:C9,'BIFUbC-hydrogen'!C2:C9)/10^15</f>
        <v>16.851331465305147</v>
      </c>
      <c r="E165" s="29">
        <f>SUM('BIFUbC-electricity'!D2:D9,'BIFUbC-coal'!D2:D9,'BIFUbC-natural-gas'!D2:D9,'BIFUbC-biomass'!D2:D9,'BIFUbC-petroleum-diesel'!D2:D9,'BIFUbC-heat'!D2:D9,'BIFUbC-crude-oil'!D2:D9,'BIFUbC-heavy-or-residual-oil'!D2:D9,'BIFUbC-LPG-propane-or-butane'!D2:D9,'BIFUbC-hydrogen'!D2:D9)/10^15</f>
        <v>16.944799445610293</v>
      </c>
      <c r="F165" s="29">
        <f>SUM('BIFUbC-electricity'!E2:E9,'BIFUbC-coal'!E2:E9,'BIFUbC-natural-gas'!E2:E9,'BIFUbC-biomass'!E2:E9,'BIFUbC-petroleum-diesel'!E2:E9,'BIFUbC-heat'!E2:E9,'BIFUbC-crude-oil'!E2:E9,'BIFUbC-heavy-or-residual-oil'!E2:E9,'BIFUbC-LPG-propane-or-butane'!E2:E9,'BIFUbC-hydrogen'!E2:E9)/10^15</f>
        <v>17.038267425915443</v>
      </c>
      <c r="G165" s="29">
        <f>SUM('BIFUbC-electricity'!F2:F9,'BIFUbC-coal'!F2:F9,'BIFUbC-natural-gas'!F2:F9,'BIFUbC-biomass'!F2:F9,'BIFUbC-petroleum-diesel'!F2:F9,'BIFUbC-heat'!F2:F9,'BIFUbC-crude-oil'!F2:F9,'BIFUbC-heavy-or-residual-oil'!F2:F9,'BIFUbC-LPG-propane-or-butane'!F2:F9,'BIFUbC-hydrogen'!F2:F9)/10^15</f>
        <v>17.131735406220589</v>
      </c>
      <c r="H165" s="29">
        <f>SUM('BIFUbC-electricity'!G2:G9,'BIFUbC-coal'!G2:G9,'BIFUbC-natural-gas'!G2:G9,'BIFUbC-biomass'!G2:G9,'BIFUbC-petroleum-diesel'!G2:G9,'BIFUbC-heat'!G2:G9,'BIFUbC-crude-oil'!G2:G9,'BIFUbC-heavy-or-residual-oil'!G2:G9,'BIFUbC-LPG-propane-or-butane'!G2:G9,'BIFUbC-hydrogen'!G2:G9)/10^15</f>
        <v>17.225203386525738</v>
      </c>
      <c r="I165" s="29">
        <f>SUM('BIFUbC-electricity'!H2:H9,'BIFUbC-coal'!H2:H9,'BIFUbC-natural-gas'!H2:H9,'BIFUbC-biomass'!H2:H9,'BIFUbC-petroleum-diesel'!H2:H9,'BIFUbC-heat'!H2:H9,'BIFUbC-crude-oil'!H2:H9,'BIFUbC-heavy-or-residual-oil'!H2:H9,'BIFUbC-LPG-propane-or-butane'!H2:H9,'BIFUbC-hydrogen'!H2:H9)/10^15</f>
        <v>17.318671366830891</v>
      </c>
      <c r="J165" s="29">
        <f>SUM('BIFUbC-electricity'!I2:I9,'BIFUbC-coal'!I2:I9,'BIFUbC-natural-gas'!I2:I9,'BIFUbC-biomass'!I2:I9,'BIFUbC-petroleum-diesel'!I2:I9,'BIFUbC-heat'!I2:I9,'BIFUbC-crude-oil'!I2:I9,'BIFUbC-heavy-or-residual-oil'!I2:I9,'BIFUbC-LPG-propane-or-butane'!I2:I9,'BIFUbC-hydrogen'!I2:I9)/10^15</f>
        <v>17.412139347136034</v>
      </c>
      <c r="K165" s="29">
        <f>SUM('BIFUbC-electricity'!J2:J9,'BIFUbC-coal'!J2:J9,'BIFUbC-natural-gas'!J2:J9,'BIFUbC-biomass'!J2:J9,'BIFUbC-petroleum-diesel'!J2:J9,'BIFUbC-heat'!J2:J9,'BIFUbC-crude-oil'!J2:J9,'BIFUbC-heavy-or-residual-oil'!J2:J9,'BIFUbC-LPG-propane-or-butane'!J2:J9,'BIFUbC-hydrogen'!J2:J9)/10^15</f>
        <v>17.505607327441187</v>
      </c>
      <c r="L165" s="29">
        <f>SUM('BIFUbC-electricity'!K2:K9,'BIFUbC-coal'!K2:K9,'BIFUbC-natural-gas'!K2:K9,'BIFUbC-biomass'!K2:K9,'BIFUbC-petroleum-diesel'!K2:K9,'BIFUbC-heat'!K2:K9,'BIFUbC-crude-oil'!K2:K9,'BIFUbC-heavy-or-residual-oil'!K2:K9,'BIFUbC-LPG-propane-or-butane'!K2:K9,'BIFUbC-hydrogen'!K2:K9)/10^15</f>
        <v>17.599075307746336</v>
      </c>
      <c r="M165" s="29">
        <f>SUM('BIFUbC-electricity'!L2:L9,'BIFUbC-coal'!L2:L9,'BIFUbC-natural-gas'!L2:L9,'BIFUbC-biomass'!L2:L9,'BIFUbC-petroleum-diesel'!L2:L9,'BIFUbC-heat'!L2:L9,'BIFUbC-crude-oil'!L2:L9,'BIFUbC-heavy-or-residual-oil'!L2:L9,'BIFUbC-LPG-propane-or-butane'!L2:L9,'BIFUbC-hydrogen'!L2:L9)/10^15</f>
        <v>17.692543288051478</v>
      </c>
      <c r="N165" s="29">
        <f>SUM('BIFUbC-electricity'!M2:M9,'BIFUbC-coal'!M2:M9,'BIFUbC-natural-gas'!M2:M9,'BIFUbC-biomass'!M2:M9,'BIFUbC-petroleum-diesel'!M2:M9,'BIFUbC-heat'!M2:M9,'BIFUbC-crude-oil'!M2:M9,'BIFUbC-heavy-or-residual-oil'!M2:M9,'BIFUbC-LPG-propane-or-butane'!M2:M9,'BIFUbC-hydrogen'!M2:M9)/10^15</f>
        <v>17.786011268356631</v>
      </c>
      <c r="O165" s="29">
        <f>SUM('BIFUbC-electricity'!N2:N9,'BIFUbC-coal'!N2:N9,'BIFUbC-natural-gas'!N2:N9,'BIFUbC-biomass'!N2:N9,'BIFUbC-petroleum-diesel'!N2:N9,'BIFUbC-heat'!N2:N9,'BIFUbC-crude-oil'!N2:N9,'BIFUbC-heavy-or-residual-oil'!N2:N9,'BIFUbC-LPG-propane-or-butane'!N2:N9,'BIFUbC-hydrogen'!N2:N9)/10^15</f>
        <v>17.879479248661777</v>
      </c>
      <c r="P165" s="29">
        <f>SUM('BIFUbC-electricity'!O2:O9,'BIFUbC-coal'!O2:O9,'BIFUbC-natural-gas'!O2:O9,'BIFUbC-biomass'!O2:O9,'BIFUbC-petroleum-diesel'!O2:O9,'BIFUbC-heat'!O2:O9,'BIFUbC-crude-oil'!O2:O9,'BIFUbC-heavy-or-residual-oil'!O2:O9,'BIFUbC-LPG-propane-or-butane'!O2:O9,'BIFUbC-hydrogen'!O2:O9)/10^15</f>
        <v>17.972947228966923</v>
      </c>
      <c r="Q165" s="29">
        <f>SUM('BIFUbC-electricity'!P2:P9,'BIFUbC-coal'!P2:P9,'BIFUbC-natural-gas'!P2:P9,'BIFUbC-biomass'!P2:P9,'BIFUbC-petroleum-diesel'!P2:P9,'BIFUbC-heat'!P2:P9,'BIFUbC-crude-oil'!P2:P9,'BIFUbC-heavy-or-residual-oil'!P2:P9,'BIFUbC-LPG-propane-or-butane'!P2:P9,'BIFUbC-hydrogen'!P2:P9)/10^15</f>
        <v>18.066415209272076</v>
      </c>
      <c r="R165" s="29">
        <f>SUM('BIFUbC-electricity'!Q2:Q9,'BIFUbC-coal'!Q2:Q9,'BIFUbC-natural-gas'!Q2:Q9,'BIFUbC-biomass'!Q2:Q9,'BIFUbC-petroleum-diesel'!Q2:Q9,'BIFUbC-heat'!Q2:Q9,'BIFUbC-crude-oil'!Q2:Q9,'BIFUbC-heavy-or-residual-oil'!Q2:Q9,'BIFUbC-LPG-propane-or-butane'!Q2:Q9,'BIFUbC-hydrogen'!Q2:Q9)/10^15</f>
        <v>18.159883189577226</v>
      </c>
      <c r="S165" s="29">
        <f>SUM('BIFUbC-electricity'!R2:R9,'BIFUbC-coal'!R2:R9,'BIFUbC-natural-gas'!R2:R9,'BIFUbC-biomass'!R2:R9,'BIFUbC-petroleum-diesel'!R2:R9,'BIFUbC-heat'!R2:R9,'BIFUbC-crude-oil'!R2:R9,'BIFUbC-heavy-or-residual-oil'!R2:R9,'BIFUbC-LPG-propane-or-butane'!R2:R9,'BIFUbC-hydrogen'!R2:R9)/10^15</f>
        <v>18.253351169882372</v>
      </c>
      <c r="T165" s="29">
        <f>SUM('BIFUbC-electricity'!S2:S9,'BIFUbC-coal'!S2:S9,'BIFUbC-natural-gas'!S2:S9,'BIFUbC-biomass'!S2:S9,'BIFUbC-petroleum-diesel'!S2:S9,'BIFUbC-heat'!S2:S9,'BIFUbC-crude-oil'!S2:S9,'BIFUbC-heavy-or-residual-oil'!S2:S9,'BIFUbC-LPG-propane-or-butane'!S2:S9,'BIFUbC-hydrogen'!S2:S9)/10^15</f>
        <v>18.346819150187525</v>
      </c>
      <c r="U165" s="29">
        <f>SUM('BIFUbC-electricity'!T2:T9,'BIFUbC-coal'!T2:T9,'BIFUbC-natural-gas'!T2:T9,'BIFUbC-biomass'!T2:T9,'BIFUbC-petroleum-diesel'!T2:T9,'BIFUbC-heat'!T2:T9,'BIFUbC-crude-oil'!T2:T9,'BIFUbC-heavy-or-residual-oil'!T2:T9,'BIFUbC-LPG-propane-or-butane'!T2:T9,'BIFUbC-hydrogen'!T2:T9)/10^15</f>
        <v>18.440287130492667</v>
      </c>
      <c r="V165" s="29">
        <f>SUM('BIFUbC-electricity'!U2:U9,'BIFUbC-coal'!U2:U9,'BIFUbC-natural-gas'!U2:U9,'BIFUbC-biomass'!U2:U9,'BIFUbC-petroleum-diesel'!U2:U9,'BIFUbC-heat'!U2:U9,'BIFUbC-crude-oil'!U2:U9,'BIFUbC-heavy-or-residual-oil'!U2:U9,'BIFUbC-LPG-propane-or-butane'!U2:U9,'BIFUbC-hydrogen'!U2:U9)/10^15</f>
        <v>18.533755110797816</v>
      </c>
      <c r="W165" s="29">
        <f>SUM('BIFUbC-electricity'!V2:V9,'BIFUbC-coal'!V2:V9,'BIFUbC-natural-gas'!V2:V9,'BIFUbC-biomass'!V2:V9,'BIFUbC-petroleum-diesel'!V2:V9,'BIFUbC-heat'!V2:V9,'BIFUbC-crude-oil'!V2:V9,'BIFUbC-heavy-or-residual-oil'!V2:V9,'BIFUbC-LPG-propane-or-butane'!V2:V9,'BIFUbC-hydrogen'!V2:V9)/10^15</f>
        <v>18.627223091102962</v>
      </c>
      <c r="X165" s="29">
        <f>SUM('BIFUbC-electricity'!W2:W9,'BIFUbC-coal'!W2:W9,'BIFUbC-natural-gas'!W2:W9,'BIFUbC-biomass'!W2:W9,'BIFUbC-petroleum-diesel'!W2:W9,'BIFUbC-heat'!W2:W9,'BIFUbC-crude-oil'!W2:W9,'BIFUbC-heavy-or-residual-oil'!W2:W9,'BIFUbC-LPG-propane-or-butane'!W2:W9,'BIFUbC-hydrogen'!W2:W9)/10^15</f>
        <v>18.720691071408115</v>
      </c>
      <c r="Y165" s="29">
        <f>SUM('BIFUbC-electricity'!X2:X9,'BIFUbC-coal'!X2:X9,'BIFUbC-natural-gas'!X2:X9,'BIFUbC-biomass'!X2:X9,'BIFUbC-petroleum-diesel'!X2:X9,'BIFUbC-heat'!X2:X9,'BIFUbC-crude-oil'!X2:X9,'BIFUbC-heavy-or-residual-oil'!X2:X9,'BIFUbC-LPG-propane-or-butane'!X2:X9,'BIFUbC-hydrogen'!X2:X9)/10^15</f>
        <v>18.814159051713265</v>
      </c>
      <c r="Z165" s="29">
        <f>SUM('BIFUbC-electricity'!Y2:Y9,'BIFUbC-coal'!Y2:Y9,'BIFUbC-natural-gas'!Y2:Y9,'BIFUbC-biomass'!Y2:Y9,'BIFUbC-petroleum-diesel'!Y2:Y9,'BIFUbC-heat'!Y2:Y9,'BIFUbC-crude-oil'!Y2:Y9,'BIFUbC-heavy-or-residual-oil'!Y2:Y9,'BIFUbC-LPG-propane-or-butane'!Y2:Y9,'BIFUbC-hydrogen'!Y2:Y9)/10^15</f>
        <v>18.907627032018411</v>
      </c>
      <c r="AA165" s="29">
        <f>SUM('BIFUbC-electricity'!Z2:Z9,'BIFUbC-coal'!Z2:Z9,'BIFUbC-natural-gas'!Z2:Z9,'BIFUbC-biomass'!Z2:Z9,'BIFUbC-petroleum-diesel'!Z2:Z9,'BIFUbC-heat'!Z2:Z9,'BIFUbC-crude-oil'!Z2:Z9,'BIFUbC-heavy-or-residual-oil'!Z2:Z9,'BIFUbC-LPG-propane-or-butane'!Z2:Z9,'BIFUbC-hydrogen'!Z2:Z9)/10^15</f>
        <v>19.00109501232356</v>
      </c>
      <c r="AB165" s="29">
        <f>SUM('BIFUbC-electricity'!AA2:AA9,'BIFUbC-coal'!AA2:AA9,'BIFUbC-natural-gas'!AA2:AA9,'BIFUbC-biomass'!AA2:AA9,'BIFUbC-petroleum-diesel'!AA2:AA9,'BIFUbC-heat'!AA2:AA9,'BIFUbC-crude-oil'!AA2:AA9,'BIFUbC-heavy-or-residual-oil'!AA2:AA9,'BIFUbC-LPG-propane-or-butane'!AA2:AA9,'BIFUbC-hydrogen'!AA2:AA9)/10^15</f>
        <v>19.094562992628703</v>
      </c>
      <c r="AC165" s="29">
        <f>SUM('BIFUbC-electricity'!AB2:AB9,'BIFUbC-coal'!AB2:AB9,'BIFUbC-natural-gas'!AB2:AB9,'BIFUbC-biomass'!AB2:AB9,'BIFUbC-petroleum-diesel'!AB2:AB9,'BIFUbC-heat'!AB2:AB9,'BIFUbC-crude-oil'!AB2:AB9,'BIFUbC-heavy-or-residual-oil'!AB2:AB9,'BIFUbC-LPG-propane-or-butane'!AB2:AB9,'BIFUbC-hydrogen'!AB2:AB9)/10^15</f>
        <v>19.188030972933852</v>
      </c>
      <c r="AD165" s="29">
        <f>SUM('BIFUbC-electricity'!AC2:AC9,'BIFUbC-coal'!AC2:AC9,'BIFUbC-natural-gas'!AC2:AC9,'BIFUbC-biomass'!AC2:AC9,'BIFUbC-petroleum-diesel'!AC2:AC9,'BIFUbC-heat'!AC2:AC9,'BIFUbC-crude-oil'!AC2:AC9,'BIFUbC-heavy-or-residual-oil'!AC2:AC9,'BIFUbC-LPG-propane-or-butane'!AC2:AC9,'BIFUbC-hydrogen'!AC2:AC9)/10^15</f>
        <v>19.281498953239005</v>
      </c>
      <c r="AE165" s="29">
        <f>SUM('BIFUbC-electricity'!AD2:AD9,'BIFUbC-coal'!AD2:AD9,'BIFUbC-natural-gas'!AD2:AD9,'BIFUbC-biomass'!AD2:AD9,'BIFUbC-petroleum-diesel'!AD2:AD9,'BIFUbC-heat'!AD2:AD9,'BIFUbC-crude-oil'!AD2:AD9,'BIFUbC-heavy-or-residual-oil'!AD2:AD9,'BIFUbC-LPG-propane-or-butane'!AD2:AD9,'BIFUbC-hydrogen'!AD2:AD9)/10^15</f>
        <v>19.374966933544151</v>
      </c>
      <c r="AF165" s="29">
        <f>SUM('BIFUbC-electricity'!AE2:AE9,'BIFUbC-coal'!AE2:AE9,'BIFUbC-natural-gas'!AE2:AE9,'BIFUbC-biomass'!AE2:AE9,'BIFUbC-petroleum-diesel'!AE2:AE9,'BIFUbC-heat'!AE2:AE9,'BIFUbC-crude-oil'!AE2:AE9,'BIFUbC-heavy-or-residual-oil'!AE2:AE9,'BIFUbC-LPG-propane-or-butane'!AE2:AE9,'BIFUbC-hydrogen'!AE2:AE9)/10^15</f>
        <v>19.468434913849304</v>
      </c>
      <c r="AG165" s="29">
        <f>SUM('BIFUbC-electricity'!AF2:AF9,'BIFUbC-coal'!AF2:AF9,'BIFUbC-natural-gas'!AF2:AF9,'BIFUbC-biomass'!AF2:AF9,'BIFUbC-petroleum-diesel'!AF2:AF9,'BIFUbC-heat'!AF2:AF9,'BIFUbC-crude-oil'!AF2:AF9,'BIFUbC-heavy-or-residual-oil'!AF2:AF9,'BIFUbC-LPG-propane-or-butane'!AF2:AF9,'BIFUbC-hydrogen'!AF2:AF9)/10^15</f>
        <v>19.561902894154446</v>
      </c>
      <c r="AH165" s="29">
        <f>SUM('BIFUbC-electricity'!AG2:AG9,'BIFUbC-coal'!AG2:AG9,'BIFUbC-natural-gas'!AG2:AG9,'BIFUbC-biomass'!AG2:AG9,'BIFUbC-petroleum-diesel'!AG2:AG9,'BIFUbC-heat'!AG2:AG9,'BIFUbC-crude-oil'!AG2:AG9,'BIFUbC-heavy-or-residual-oil'!AG2:AG9,'BIFUbC-LPG-propane-or-butane'!AG2:AG9,'BIFUbC-hydrogen'!AG2:AG9)/10^15</f>
        <v>19.655370874459596</v>
      </c>
      <c r="AI165" s="29">
        <f>SUM('BIFUbC-electricity'!AH2:AH9,'BIFUbC-coal'!AH2:AH9,'BIFUbC-natural-gas'!AH2:AH9,'BIFUbC-biomass'!AH2:AH9,'BIFUbC-petroleum-diesel'!AH2:AH9,'BIFUbC-heat'!AH2:AH9,'BIFUbC-crude-oil'!AH2:AH9,'BIFUbC-heavy-or-residual-oil'!AH2:AH9,'BIFUbC-LPG-propane-or-butane'!AH2:AH9,'BIFUbC-hydrogen'!AH2:AH9)/10^15</f>
        <v>19.748838854764745</v>
      </c>
      <c r="AJ165" s="29">
        <f>SUM('BIFUbC-electricity'!AI2:AI9,'BIFUbC-coal'!AI2:AI9,'BIFUbC-natural-gas'!AI2:AI9,'BIFUbC-biomass'!AI2:AI9,'BIFUbC-petroleum-diesel'!AI2:AI9,'BIFUbC-heat'!AI2:AI9,'BIFUbC-crude-oil'!AI2:AI9,'BIFUbC-heavy-or-residual-oil'!AI2:AI9,'BIFUbC-LPG-propane-or-butane'!AI2:AI9,'BIFUbC-hydrogen'!AI2:AI9)/10^15</f>
        <v>19.842306835069916</v>
      </c>
    </row>
    <row r="166" spans="1:36" s="5" customFormat="1">
      <c r="A166" s="5" t="s">
        <v>141</v>
      </c>
      <c r="C166" s="48">
        <f>C164-C165</f>
        <v>-15.649196484999994</v>
      </c>
      <c r="D166" s="48">
        <f t="shared" ref="D166:AJ166" si="17">D164-D165</f>
        <v>-15.805649465305148</v>
      </c>
      <c r="E166" s="48">
        <f t="shared" si="17"/>
        <v>-15.935094445610293</v>
      </c>
      <c r="F166" s="48">
        <f t="shared" si="17"/>
        <v>-15.909295425915442</v>
      </c>
      <c r="G166" s="48">
        <f t="shared" si="17"/>
        <v>-15.904830406220588</v>
      </c>
      <c r="H166" s="48">
        <f t="shared" si="17"/>
        <v>-15.952816386525738</v>
      </c>
      <c r="I166" s="48">
        <f t="shared" si="17"/>
        <v>-16.00513036683089</v>
      </c>
      <c r="J166" s="48">
        <f t="shared" si="17"/>
        <v>-16.065421347136034</v>
      </c>
      <c r="K166" s="48">
        <f t="shared" si="17"/>
        <v>-16.123949327441185</v>
      </c>
      <c r="L166" s="48">
        <f t="shared" si="17"/>
        <v>-16.186030307746336</v>
      </c>
      <c r="M166" s="48">
        <f t="shared" si="17"/>
        <v>-16.250028288051478</v>
      </c>
      <c r="N166" s="48">
        <f t="shared" si="17"/>
        <v>-16.314054268356632</v>
      </c>
      <c r="O166" s="48">
        <f t="shared" si="17"/>
        <v>-16.372432248661777</v>
      </c>
      <c r="P166" s="48">
        <f t="shared" si="17"/>
        <v>-16.446713228966924</v>
      </c>
      <c r="Q166" s="48">
        <f t="shared" si="17"/>
        <v>-16.518685209272075</v>
      </c>
      <c r="R166" s="48">
        <f t="shared" si="17"/>
        <v>-16.601283189577227</v>
      </c>
      <c r="S166" s="48">
        <f t="shared" si="17"/>
        <v>-16.673745169882373</v>
      </c>
      <c r="T166" s="48">
        <f t="shared" si="17"/>
        <v>-16.747733150187525</v>
      </c>
      <c r="U166" s="48">
        <f t="shared" si="17"/>
        <v>-16.814894130492668</v>
      </c>
      <c r="V166" s="48">
        <f t="shared" si="17"/>
        <v>-16.888982110797816</v>
      </c>
      <c r="W166" s="48">
        <f t="shared" si="17"/>
        <v>-16.965581091102962</v>
      </c>
      <c r="X166" s="48">
        <f t="shared" si="17"/>
        <v>-17.039296071408117</v>
      </c>
      <c r="Y166" s="48">
        <f t="shared" si="17"/>
        <v>-17.111750051713265</v>
      </c>
      <c r="Z166" s="48">
        <f t="shared" si="17"/>
        <v>-17.181191032018411</v>
      </c>
      <c r="AA166" s="48">
        <f t="shared" si="17"/>
        <v>-17.255877012323559</v>
      </c>
      <c r="AB166" s="48">
        <f t="shared" si="17"/>
        <v>-17.326007992628703</v>
      </c>
      <c r="AC166" s="48">
        <f t="shared" si="17"/>
        <v>-17.399485972933853</v>
      </c>
      <c r="AD166" s="48">
        <f t="shared" si="17"/>
        <v>-17.469899953239004</v>
      </c>
      <c r="AE166" s="48">
        <f t="shared" si="17"/>
        <v>-17.540456933544149</v>
      </c>
      <c r="AF166" s="48">
        <f t="shared" si="17"/>
        <v>-17.603113913849302</v>
      </c>
      <c r="AG166" s="48">
        <f t="shared" si="17"/>
        <v>-17.673949894154447</v>
      </c>
      <c r="AH166" s="48">
        <f t="shared" si="17"/>
        <v>-17.744861874459595</v>
      </c>
      <c r="AI166" s="48">
        <f t="shared" si="17"/>
        <v>-17.817286854764745</v>
      </c>
      <c r="AJ166" s="48">
        <f t="shared" si="17"/>
        <v>-17.888510835069916</v>
      </c>
    </row>
    <row r="168" spans="1:36">
      <c r="A168" s="5" t="s">
        <v>133</v>
      </c>
      <c r="C168" s="47">
        <f t="shared" ref="C168:AJ168" si="18">C113</f>
        <v>1.645724</v>
      </c>
      <c r="D168" s="47">
        <f t="shared" si="18"/>
        <v>1.6372070000000001</v>
      </c>
      <c r="E168" s="47">
        <f t="shared" si="18"/>
        <v>1.5788070000000001</v>
      </c>
      <c r="F168" s="47">
        <f t="shared" si="18"/>
        <v>1.6148899999999999</v>
      </c>
      <c r="G168" s="47">
        <f t="shared" si="18"/>
        <v>1.652601</v>
      </c>
      <c r="H168" s="47">
        <f t="shared" si="18"/>
        <v>1.683052</v>
      </c>
      <c r="I168" s="47">
        <f t="shared" si="18"/>
        <v>1.7153099999999999</v>
      </c>
      <c r="J168" s="47">
        <f t="shared" si="18"/>
        <v>1.74841</v>
      </c>
      <c r="K168" s="47">
        <f t="shared" si="18"/>
        <v>1.7841819999999999</v>
      </c>
      <c r="L168" s="47">
        <f t="shared" si="18"/>
        <v>1.8130930000000001</v>
      </c>
      <c r="M168" s="47">
        <f t="shared" si="18"/>
        <v>1.8319639999999999</v>
      </c>
      <c r="N168" s="47">
        <f t="shared" si="18"/>
        <v>1.855602</v>
      </c>
      <c r="O168" s="47">
        <f t="shared" si="18"/>
        <v>1.878374</v>
      </c>
      <c r="P168" s="47">
        <f t="shared" si="18"/>
        <v>1.8951020000000001</v>
      </c>
      <c r="Q168" s="47">
        <f t="shared" si="18"/>
        <v>1.9191549999999999</v>
      </c>
      <c r="R168" s="47">
        <f t="shared" si="18"/>
        <v>1.942777</v>
      </c>
      <c r="S168" s="47">
        <f t="shared" si="18"/>
        <v>1.9699949999999999</v>
      </c>
      <c r="T168" s="47">
        <f t="shared" si="18"/>
        <v>2.005074</v>
      </c>
      <c r="U168" s="47">
        <f t="shared" si="18"/>
        <v>2.0392320000000002</v>
      </c>
      <c r="V168" s="47">
        <f t="shared" si="18"/>
        <v>2.0754999999999999</v>
      </c>
      <c r="W168" s="47">
        <f t="shared" si="18"/>
        <v>2.1121059999999998</v>
      </c>
      <c r="X168" s="47">
        <f t="shared" si="18"/>
        <v>2.14771</v>
      </c>
      <c r="Y168" s="47">
        <f t="shared" si="18"/>
        <v>2.1763690000000002</v>
      </c>
      <c r="Z168" s="47">
        <f t="shared" si="18"/>
        <v>2.2064539999999999</v>
      </c>
      <c r="AA168" s="47">
        <f t="shared" si="18"/>
        <v>2.238407</v>
      </c>
      <c r="AB168" s="47">
        <f t="shared" si="18"/>
        <v>2.2667630000000001</v>
      </c>
      <c r="AC168" s="47">
        <f t="shared" si="18"/>
        <v>2.29358</v>
      </c>
      <c r="AD168" s="47">
        <f t="shared" si="18"/>
        <v>2.326085</v>
      </c>
      <c r="AE168" s="47">
        <f t="shared" si="18"/>
        <v>2.360312</v>
      </c>
      <c r="AF168" s="47">
        <f t="shared" si="18"/>
        <v>2.3952650000000002</v>
      </c>
      <c r="AG168" s="47">
        <f t="shared" si="18"/>
        <v>2.4304290000000002</v>
      </c>
      <c r="AH168" s="47">
        <f t="shared" si="18"/>
        <v>2.463975</v>
      </c>
      <c r="AI168" s="47">
        <f t="shared" si="18"/>
        <v>2.4944060000000001</v>
      </c>
      <c r="AJ168" s="47">
        <f t="shared" si="18"/>
        <v>2.5254989999999999</v>
      </c>
    </row>
    <row r="169" spans="1:36">
      <c r="A169" s="5" t="s">
        <v>124</v>
      </c>
      <c r="C169" s="5">
        <f>SUM('BIFUbC-electricity'!B2:B9)/10^15</f>
        <v>0.4093</v>
      </c>
      <c r="D169" s="5">
        <f>SUM('BIFUbC-electricity'!C2:C9)/10^15</f>
        <v>0.41343548940910524</v>
      </c>
      <c r="E169" s="5">
        <f>SUM('BIFUbC-electricity'!D2:D9)/10^15</f>
        <v>0.41757097881821054</v>
      </c>
      <c r="F169" s="5">
        <f>SUM('BIFUbC-electricity'!E2:E9)/10^15</f>
        <v>0.42170646822731589</v>
      </c>
      <c r="G169" s="5">
        <f>SUM('BIFUbC-electricity'!F2:F9)/10^15</f>
        <v>0.42584195763642113</v>
      </c>
      <c r="H169" s="5">
        <f>SUM('BIFUbC-electricity'!G2:G9)/10^15</f>
        <v>0.42997744704552637</v>
      </c>
      <c r="I169" s="5">
        <f>SUM('BIFUbC-electricity'!H2:H9)/10^15</f>
        <v>0.43411293645463161</v>
      </c>
      <c r="J169" s="5">
        <f>SUM('BIFUbC-electricity'!I2:I9)/10^15</f>
        <v>0.43824842586373702</v>
      </c>
      <c r="K169" s="5">
        <f>SUM('BIFUbC-electricity'!J2:J9)/10^15</f>
        <v>0.44238391527284221</v>
      </c>
      <c r="L169" s="5">
        <f>SUM('BIFUbC-electricity'!K2:K9)/10^15</f>
        <v>0.44651940468194751</v>
      </c>
      <c r="M169" s="5">
        <f>SUM('BIFUbC-electricity'!L2:L9)/10^15</f>
        <v>0.45065489409105275</v>
      </c>
      <c r="N169" s="5">
        <f>SUM('BIFUbC-electricity'!M2:M9)/10^15</f>
        <v>0.45479038350015799</v>
      </c>
      <c r="O169" s="5">
        <f>SUM('BIFUbC-electricity'!N2:N9)/10^15</f>
        <v>0.45892587290926329</v>
      </c>
      <c r="P169" s="5">
        <f>SUM('BIFUbC-electricity'!O2:O9)/10^15</f>
        <v>0.46306136231836859</v>
      </c>
      <c r="Q169" s="5">
        <f>SUM('BIFUbC-electricity'!P2:P9)/10^15</f>
        <v>0.46719685172747388</v>
      </c>
      <c r="R169" s="5">
        <f>SUM('BIFUbC-electricity'!Q2:Q9)/10^15</f>
        <v>0.47133234113657912</v>
      </c>
      <c r="S169" s="5">
        <f>SUM('BIFUbC-electricity'!R2:R9)/10^15</f>
        <v>0.47546783054568442</v>
      </c>
      <c r="T169" s="5">
        <f>SUM('BIFUbC-electricity'!S2:S9)/10^15</f>
        <v>0.47960331995478961</v>
      </c>
      <c r="U169" s="5">
        <f>SUM('BIFUbC-electricity'!T2:T9)/10^15</f>
        <v>0.48373880936389502</v>
      </c>
      <c r="V169" s="5">
        <f>SUM('BIFUbC-electricity'!U2:U9)/10^15</f>
        <v>0.48787429877300026</v>
      </c>
      <c r="W169" s="5">
        <f>SUM('BIFUbC-electricity'!V2:V9)/10^15</f>
        <v>0.4920097881821055</v>
      </c>
      <c r="X169" s="5">
        <f>SUM('BIFUbC-electricity'!W2:W9)/10^15</f>
        <v>0.49614527759121085</v>
      </c>
      <c r="Y169" s="5">
        <f>SUM('BIFUbC-electricity'!X2:X9)/10^15</f>
        <v>0.5002807670003161</v>
      </c>
      <c r="Z169" s="5">
        <f>SUM('BIFUbC-electricity'!Y2:Y9)/10^15</f>
        <v>0.50441625640942134</v>
      </c>
      <c r="AA169" s="5">
        <f>SUM('BIFUbC-electricity'!Z2:Z9)/10^15</f>
        <v>0.50855174581852658</v>
      </c>
      <c r="AB169" s="5">
        <f>SUM('BIFUbC-electricity'!AA2:AA9)/10^15</f>
        <v>0.51268723522763204</v>
      </c>
      <c r="AC169" s="5">
        <f>SUM('BIFUbC-electricity'!AB2:AB9)/10^15</f>
        <v>0.51682272463673729</v>
      </c>
      <c r="AD169" s="5">
        <f>SUM('BIFUbC-electricity'!AC2:AC9)/10^15</f>
        <v>0.52095821404584253</v>
      </c>
      <c r="AE169" s="5">
        <f>SUM('BIFUbC-electricity'!AD2:AD9)/10^15</f>
        <v>0.52509370345494788</v>
      </c>
      <c r="AF169" s="5">
        <f>SUM('BIFUbC-electricity'!AE2:AE9)/10^15</f>
        <v>0.52922919286405301</v>
      </c>
      <c r="AG169" s="5">
        <f>SUM('BIFUbC-electricity'!AF2:AF9)/10^15</f>
        <v>0.53336468227315836</v>
      </c>
      <c r="AH169" s="5">
        <f>SUM('BIFUbC-electricity'!AG2:AG9)/10^15</f>
        <v>0.53750017168226361</v>
      </c>
      <c r="AI169" s="5">
        <f>SUM('BIFUbC-electricity'!AH2:AH9)/10^15</f>
        <v>0.54163566109136896</v>
      </c>
      <c r="AJ169" s="5">
        <f>SUM('BIFUbC-electricity'!AI2:AI9)/10^15</f>
        <v>0.54577115050047464</v>
      </c>
    </row>
    <row r="170" spans="1:36" s="5" customFormat="1">
      <c r="A170" s="5" t="s">
        <v>141</v>
      </c>
      <c r="C170" s="47">
        <f>C168-C169</f>
        <v>1.236424</v>
      </c>
      <c r="D170" s="47">
        <f t="shared" ref="D170:AJ170" si="19">D168-D169</f>
        <v>1.2237715105908948</v>
      </c>
      <c r="E170" s="47">
        <f t="shared" si="19"/>
        <v>1.1612360211817896</v>
      </c>
      <c r="F170" s="47">
        <f t="shared" si="19"/>
        <v>1.193183531772684</v>
      </c>
      <c r="G170" s="47">
        <f t="shared" si="19"/>
        <v>1.2267590423635788</v>
      </c>
      <c r="H170" s="47">
        <f t="shared" si="19"/>
        <v>1.2530745529544736</v>
      </c>
      <c r="I170" s="47">
        <f t="shared" si="19"/>
        <v>1.2811970635453682</v>
      </c>
      <c r="J170" s="47">
        <f t="shared" si="19"/>
        <v>1.3101615741362629</v>
      </c>
      <c r="K170" s="47">
        <f t="shared" si="19"/>
        <v>1.3417980847271578</v>
      </c>
      <c r="L170" s="47">
        <f t="shared" si="19"/>
        <v>1.3665735953180524</v>
      </c>
      <c r="M170" s="47">
        <f t="shared" si="19"/>
        <v>1.3813091059089473</v>
      </c>
      <c r="N170" s="47">
        <f t="shared" si="19"/>
        <v>1.4008116164998419</v>
      </c>
      <c r="O170" s="47">
        <f t="shared" si="19"/>
        <v>1.4194481270907366</v>
      </c>
      <c r="P170" s="47">
        <f t="shared" si="19"/>
        <v>1.4320406376816315</v>
      </c>
      <c r="Q170" s="47">
        <f t="shared" si="19"/>
        <v>1.4519581482725261</v>
      </c>
      <c r="R170" s="47">
        <f t="shared" si="19"/>
        <v>1.4714446588634209</v>
      </c>
      <c r="S170" s="47">
        <f t="shared" si="19"/>
        <v>1.4945271694543156</v>
      </c>
      <c r="T170" s="47">
        <f t="shared" si="19"/>
        <v>1.5254706800452105</v>
      </c>
      <c r="U170" s="47">
        <f t="shared" si="19"/>
        <v>1.5554931906361051</v>
      </c>
      <c r="V170" s="47">
        <f t="shared" si="19"/>
        <v>1.5876257012269996</v>
      </c>
      <c r="W170" s="47">
        <f t="shared" si="19"/>
        <v>1.6200962118178943</v>
      </c>
      <c r="X170" s="47">
        <f t="shared" si="19"/>
        <v>1.6515647224087893</v>
      </c>
      <c r="Y170" s="47">
        <f t="shared" si="19"/>
        <v>1.676088232999684</v>
      </c>
      <c r="Z170" s="47">
        <f t="shared" si="19"/>
        <v>1.7020377435905787</v>
      </c>
      <c r="AA170" s="47">
        <f t="shared" si="19"/>
        <v>1.7298552541814733</v>
      </c>
      <c r="AB170" s="47">
        <f t="shared" si="19"/>
        <v>1.7540757647723679</v>
      </c>
      <c r="AC170" s="47">
        <f t="shared" si="19"/>
        <v>1.7767572753632628</v>
      </c>
      <c r="AD170" s="47">
        <f t="shared" si="19"/>
        <v>1.8051267859541573</v>
      </c>
      <c r="AE170" s="47">
        <f t="shared" si="19"/>
        <v>1.8352182965450521</v>
      </c>
      <c r="AF170" s="47">
        <f t="shared" si="19"/>
        <v>1.8660358071359471</v>
      </c>
      <c r="AG170" s="47">
        <f t="shared" si="19"/>
        <v>1.8970643177268418</v>
      </c>
      <c r="AH170" s="47">
        <f t="shared" si="19"/>
        <v>1.9264748283177364</v>
      </c>
      <c r="AI170" s="47">
        <f t="shared" si="19"/>
        <v>1.9527703389086311</v>
      </c>
      <c r="AJ170" s="47">
        <f t="shared" si="19"/>
        <v>1.9797278494995254</v>
      </c>
    </row>
    <row r="171" spans="1:36">
      <c r="A171" s="5"/>
      <c r="C171" s="5"/>
      <c r="D171" s="5"/>
      <c r="E171" s="5"/>
      <c r="F171" s="5"/>
    </row>
    <row r="172" spans="1:36">
      <c r="A172" s="5" t="s">
        <v>134</v>
      </c>
      <c r="C172" s="24">
        <f t="shared" ref="C172:AJ172" si="20">C110-C106</f>
        <v>-0.35159999999999997</v>
      </c>
      <c r="D172" s="24">
        <f t="shared" si="20"/>
        <v>-0.3599</v>
      </c>
      <c r="E172" s="24">
        <f t="shared" si="20"/>
        <v>-0.38529999999999998</v>
      </c>
      <c r="F172" s="24">
        <f t="shared" si="20"/>
        <v>-0.44556699999999994</v>
      </c>
      <c r="G172" s="24">
        <f t="shared" si="20"/>
        <v>-0.48569599999999996</v>
      </c>
      <c r="H172" s="24">
        <f t="shared" si="20"/>
        <v>-0.51529099999999994</v>
      </c>
      <c r="I172" s="24">
        <f t="shared" si="20"/>
        <v>-0.53998499999999994</v>
      </c>
      <c r="J172" s="24">
        <f t="shared" si="20"/>
        <v>-0.55774200000000007</v>
      </c>
      <c r="K172" s="24">
        <f t="shared" si="20"/>
        <v>-0.5688089999999999</v>
      </c>
      <c r="L172" s="24">
        <f t="shared" si="20"/>
        <v>-0.57857000000000003</v>
      </c>
      <c r="M172" s="24">
        <f t="shared" si="20"/>
        <v>-0.59660599999999997</v>
      </c>
      <c r="N172" s="24">
        <f t="shared" si="20"/>
        <v>-0.60500500000000001</v>
      </c>
      <c r="O172" s="24">
        <f t="shared" si="20"/>
        <v>-0.61313100000000009</v>
      </c>
      <c r="P172" s="24">
        <f t="shared" si="20"/>
        <v>-0.60892800000000002</v>
      </c>
      <c r="Q172" s="24">
        <f t="shared" si="20"/>
        <v>-0.61029600000000006</v>
      </c>
      <c r="R172" s="24">
        <f t="shared" si="20"/>
        <v>-0.62002800000000002</v>
      </c>
      <c r="S172" s="24">
        <f t="shared" si="20"/>
        <v>-0.61801700000000004</v>
      </c>
      <c r="T172" s="24">
        <f t="shared" si="20"/>
        <v>-0.61258899999999983</v>
      </c>
      <c r="U172" s="24">
        <f t="shared" si="20"/>
        <v>-0.61390599999999995</v>
      </c>
      <c r="V172" s="24">
        <f t="shared" si="20"/>
        <v>-0.61949200000000004</v>
      </c>
      <c r="W172" s="24">
        <f t="shared" si="20"/>
        <v>-0.61799599999999999</v>
      </c>
      <c r="X172" s="24">
        <f t="shared" si="20"/>
        <v>-0.626417</v>
      </c>
      <c r="Y172" s="24">
        <f t="shared" si="20"/>
        <v>-0.63197100000000006</v>
      </c>
      <c r="Z172" s="24">
        <f t="shared" si="20"/>
        <v>-0.6367560000000001</v>
      </c>
      <c r="AA172" s="24">
        <f t="shared" si="20"/>
        <v>-0.63967200000000002</v>
      </c>
      <c r="AB172" s="24">
        <f t="shared" si="20"/>
        <v>-0.6460840000000001</v>
      </c>
      <c r="AC172" s="24">
        <f t="shared" si="20"/>
        <v>-0.64626500000000009</v>
      </c>
      <c r="AD172" s="24">
        <f t="shared" si="20"/>
        <v>-0.65239099999999994</v>
      </c>
      <c r="AE172" s="24">
        <f t="shared" si="20"/>
        <v>-0.65369499999999992</v>
      </c>
      <c r="AF172" s="24">
        <f t="shared" si="20"/>
        <v>-0.66016900000000001</v>
      </c>
      <c r="AG172" s="24">
        <f t="shared" si="20"/>
        <v>-0.664744</v>
      </c>
      <c r="AH172" s="24">
        <f t="shared" si="20"/>
        <v>-0.674655</v>
      </c>
      <c r="AI172" s="24">
        <f t="shared" si="20"/>
        <v>-0.67857400000000001</v>
      </c>
      <c r="AJ172" s="24">
        <f t="shared" si="20"/>
        <v>-0.68542999999999998</v>
      </c>
    </row>
    <row r="173" spans="1:36">
      <c r="A173" s="5" t="s">
        <v>124</v>
      </c>
      <c r="C173" s="5">
        <f>SUM('BIFUbC-coal'!B2:B9)/10^15</f>
        <v>1.2500000000000001E-2</v>
      </c>
      <c r="D173" s="5">
        <f>SUM('BIFUbC-coal'!C2:C9)/10^15</f>
        <v>1.2472252471205206E-2</v>
      </c>
      <c r="E173" s="5">
        <f>SUM('BIFUbC-coal'!D2:D9)/10^15</f>
        <v>1.2444504942410414E-2</v>
      </c>
      <c r="F173" s="5">
        <f>SUM('BIFUbC-coal'!E2:E9)/10^15</f>
        <v>1.2416757413615623E-2</v>
      </c>
      <c r="G173" s="5">
        <f>SUM('BIFUbC-coal'!F2:F9)/10^15</f>
        <v>1.2389009884820829E-2</v>
      </c>
      <c r="H173" s="5">
        <f>SUM('BIFUbC-coal'!G2:G9)/10^15</f>
        <v>1.2361262356026035E-2</v>
      </c>
      <c r="I173" s="5">
        <f>SUM('BIFUbC-coal'!H2:H9)/10^15</f>
        <v>1.2333514827231242E-2</v>
      </c>
      <c r="J173" s="5">
        <f>SUM('BIFUbC-coal'!I2:I9)/10^15</f>
        <v>1.2305767298436451E-2</v>
      </c>
      <c r="K173" s="5">
        <f>SUM('BIFUbC-coal'!J2:J9)/10^15</f>
        <v>1.2278019769641659E-2</v>
      </c>
      <c r="L173" s="5">
        <f>SUM('BIFUbC-coal'!K2:K9)/10^15</f>
        <v>1.2250272240846865E-2</v>
      </c>
      <c r="M173" s="5">
        <f>SUM('BIFUbC-coal'!L2:L9)/10^15</f>
        <v>1.2222524712052074E-2</v>
      </c>
      <c r="N173" s="5">
        <f>SUM('BIFUbC-coal'!M2:M9)/10^15</f>
        <v>1.2194777183257281E-2</v>
      </c>
      <c r="O173" s="5">
        <f>SUM('BIFUbC-coal'!N2:N9)/10^15</f>
        <v>1.216702965446249E-2</v>
      </c>
      <c r="P173" s="5">
        <f>SUM('BIFUbC-coal'!O2:O9)/10^15</f>
        <v>1.2139282125667695E-2</v>
      </c>
      <c r="Q173" s="5">
        <f>SUM('BIFUbC-coal'!P2:P9)/10^15</f>
        <v>1.2111534596872902E-2</v>
      </c>
      <c r="R173" s="5">
        <f>SUM('BIFUbC-coal'!Q2:Q9)/10^15</f>
        <v>1.2083787068078109E-2</v>
      </c>
      <c r="S173" s="5">
        <f>SUM('BIFUbC-coal'!R2:R9)/10^15</f>
        <v>1.2056039539283317E-2</v>
      </c>
      <c r="T173" s="5">
        <f>SUM('BIFUbC-coal'!S2:S9)/10^15</f>
        <v>1.2028292010488528E-2</v>
      </c>
      <c r="U173" s="5">
        <f>SUM('BIFUbC-coal'!T2:T9)/10^15</f>
        <v>1.2000544481693734E-2</v>
      </c>
      <c r="V173" s="5">
        <f>SUM('BIFUbC-coal'!U2:U9)/10^15</f>
        <v>1.1972796952898941E-2</v>
      </c>
      <c r="W173" s="5">
        <f>SUM('BIFUbC-coal'!V2:V9)/10^15</f>
        <v>1.1945049424104149E-2</v>
      </c>
      <c r="X173" s="5">
        <f>SUM('BIFUbC-coal'!W2:W9)/10^15</f>
        <v>1.1917301895309356E-2</v>
      </c>
      <c r="Y173" s="5">
        <f>SUM('BIFUbC-coal'!X2:X9)/10^15</f>
        <v>1.1889554366514562E-2</v>
      </c>
      <c r="Z173" s="5">
        <f>SUM('BIFUbC-coal'!Y2:Y9)/10^15</f>
        <v>1.1861806837719769E-2</v>
      </c>
      <c r="AA173" s="5">
        <f>SUM('BIFUbC-coal'!Z2:Z9)/10^15</f>
        <v>1.1834059308924977E-2</v>
      </c>
      <c r="AB173" s="5">
        <f>SUM('BIFUbC-coal'!AA2:AA9)/10^15</f>
        <v>1.1806311780130186E-2</v>
      </c>
      <c r="AC173" s="5">
        <f>SUM('BIFUbC-coal'!AB2:AB9)/10^15</f>
        <v>1.1778564251335395E-2</v>
      </c>
      <c r="AD173" s="5">
        <f>SUM('BIFUbC-coal'!AC2:AC9)/10^15</f>
        <v>1.1750816722540599E-2</v>
      </c>
      <c r="AE173" s="5">
        <f>SUM('BIFUbC-coal'!AD2:AD9)/10^15</f>
        <v>1.1723069193745808E-2</v>
      </c>
      <c r="AF173" s="5">
        <f>SUM('BIFUbC-coal'!AE2:AE9)/10^15</f>
        <v>1.1695321664951016E-2</v>
      </c>
      <c r="AG173" s="5">
        <f>SUM('BIFUbC-coal'!AF2:AF9)/10^15</f>
        <v>1.166757413615622E-2</v>
      </c>
      <c r="AH173" s="5">
        <f>SUM('BIFUbC-coal'!AG2:AG9)/10^15</f>
        <v>1.1639826607361429E-2</v>
      </c>
      <c r="AI173" s="5">
        <f>SUM('BIFUbC-coal'!AH2:AH9)/10^15</f>
        <v>1.1612079078566637E-2</v>
      </c>
      <c r="AJ173" s="5">
        <f>SUM('BIFUbC-coal'!AI2:AI9)/10^15</f>
        <v>1.1584331549771851E-2</v>
      </c>
    </row>
    <row r="174" spans="1:36" s="5" customFormat="1">
      <c r="A174" s="5" t="s">
        <v>141</v>
      </c>
      <c r="C174" s="24">
        <f>C172-C173</f>
        <v>-0.36409999999999998</v>
      </c>
      <c r="D174" s="24">
        <f t="shared" ref="D174:AJ174" si="21">D172-D173</f>
        <v>-0.3723722524712052</v>
      </c>
      <c r="E174" s="24">
        <f t="shared" si="21"/>
        <v>-0.39774450494241037</v>
      </c>
      <c r="F174" s="24">
        <f t="shared" si="21"/>
        <v>-0.45798375741361558</v>
      </c>
      <c r="G174" s="24">
        <f t="shared" si="21"/>
        <v>-0.4980850098848208</v>
      </c>
      <c r="H174" s="24">
        <f t="shared" si="21"/>
        <v>-0.52765226235602603</v>
      </c>
      <c r="I174" s="24">
        <f t="shared" si="21"/>
        <v>-0.55231851482723116</v>
      </c>
      <c r="J174" s="24">
        <f t="shared" si="21"/>
        <v>-0.57004776729843654</v>
      </c>
      <c r="K174" s="24">
        <f t="shared" si="21"/>
        <v>-0.58108701976964161</v>
      </c>
      <c r="L174" s="24">
        <f t="shared" si="21"/>
        <v>-0.59082027224084688</v>
      </c>
      <c r="M174" s="24">
        <f t="shared" si="21"/>
        <v>-0.60882852471205207</v>
      </c>
      <c r="N174" s="24">
        <f t="shared" si="21"/>
        <v>-0.61719977718325725</v>
      </c>
      <c r="O174" s="24">
        <f t="shared" si="21"/>
        <v>-0.62529802965446257</v>
      </c>
      <c r="P174" s="24">
        <f t="shared" si="21"/>
        <v>-0.62106728212566775</v>
      </c>
      <c r="Q174" s="24">
        <f t="shared" si="21"/>
        <v>-0.62240753459687292</v>
      </c>
      <c r="R174" s="24">
        <f t="shared" si="21"/>
        <v>-0.63211178706807813</v>
      </c>
      <c r="S174" s="24">
        <f t="shared" si="21"/>
        <v>-0.6300730395392834</v>
      </c>
      <c r="T174" s="24">
        <f t="shared" si="21"/>
        <v>-0.62461729201048832</v>
      </c>
      <c r="U174" s="24">
        <f t="shared" si="21"/>
        <v>-0.62590654448169369</v>
      </c>
      <c r="V174" s="24">
        <f t="shared" si="21"/>
        <v>-0.63146479695289903</v>
      </c>
      <c r="W174" s="24">
        <f t="shared" si="21"/>
        <v>-0.62994104942410412</v>
      </c>
      <c r="X174" s="24">
        <f t="shared" si="21"/>
        <v>-0.63833430189530938</v>
      </c>
      <c r="Y174" s="24">
        <f t="shared" si="21"/>
        <v>-0.64386055436651457</v>
      </c>
      <c r="Z174" s="24">
        <f t="shared" si="21"/>
        <v>-0.64861780683771986</v>
      </c>
      <c r="AA174" s="24">
        <f t="shared" si="21"/>
        <v>-0.65150605930892502</v>
      </c>
      <c r="AB174" s="24">
        <f t="shared" si="21"/>
        <v>-0.65789031178013024</v>
      </c>
      <c r="AC174" s="24">
        <f t="shared" si="21"/>
        <v>-0.65804356425133548</v>
      </c>
      <c r="AD174" s="24">
        <f t="shared" si="21"/>
        <v>-0.66414181672254058</v>
      </c>
      <c r="AE174" s="24">
        <f t="shared" si="21"/>
        <v>-0.66541806919374569</v>
      </c>
      <c r="AF174" s="24">
        <f t="shared" si="21"/>
        <v>-0.67186432166495103</v>
      </c>
      <c r="AG174" s="24">
        <f t="shared" si="21"/>
        <v>-0.67641157413615627</v>
      </c>
      <c r="AH174" s="24">
        <f t="shared" si="21"/>
        <v>-0.68629482660736141</v>
      </c>
      <c r="AI174" s="24">
        <f t="shared" si="21"/>
        <v>-0.69018607907856666</v>
      </c>
      <c r="AJ174" s="24">
        <f t="shared" si="21"/>
        <v>-0.69701433154977188</v>
      </c>
    </row>
    <row r="175" spans="1:36">
      <c r="A175" s="5"/>
      <c r="C175" s="5"/>
      <c r="D175" s="5"/>
      <c r="E175" s="5"/>
      <c r="F175" s="5"/>
    </row>
    <row r="176" spans="1:36">
      <c r="A176" s="5" t="s">
        <v>135</v>
      </c>
      <c r="C176" s="24">
        <f t="shared" ref="C176:AJ176" si="22">C105</f>
        <v>5.9394600000000004</v>
      </c>
      <c r="D176" s="24">
        <f t="shared" si="22"/>
        <v>6.1816599999999999</v>
      </c>
      <c r="E176" s="24">
        <f t="shared" si="22"/>
        <v>6.1247379999999998</v>
      </c>
      <c r="F176" s="24">
        <f t="shared" si="22"/>
        <v>6.2927200000000001</v>
      </c>
      <c r="G176" s="24">
        <f t="shared" si="22"/>
        <v>6.4929259999999998</v>
      </c>
      <c r="H176" s="24">
        <f t="shared" si="22"/>
        <v>6.6429819999999999</v>
      </c>
      <c r="I176" s="24">
        <f t="shared" si="22"/>
        <v>6.7597120000000004</v>
      </c>
      <c r="J176" s="24">
        <f t="shared" si="22"/>
        <v>6.8794029999999999</v>
      </c>
      <c r="K176" s="24">
        <f t="shared" si="22"/>
        <v>6.9189540000000003</v>
      </c>
      <c r="L176" s="24">
        <f t="shared" si="22"/>
        <v>6.9831529999999997</v>
      </c>
      <c r="M176" s="24">
        <f t="shared" si="22"/>
        <v>7.081429</v>
      </c>
      <c r="N176" s="24">
        <f t="shared" si="22"/>
        <v>7.1410369999999999</v>
      </c>
      <c r="O176" s="24">
        <f t="shared" si="22"/>
        <v>7.2032999999999996</v>
      </c>
      <c r="P176" s="24">
        <f t="shared" si="22"/>
        <v>7.230988</v>
      </c>
      <c r="Q176" s="24">
        <f t="shared" si="22"/>
        <v>7.2732559999999999</v>
      </c>
      <c r="R176" s="24">
        <f t="shared" si="22"/>
        <v>7.2863350000000002</v>
      </c>
      <c r="S176" s="24">
        <f t="shared" si="22"/>
        <v>7.2993959999999998</v>
      </c>
      <c r="T176" s="24">
        <f t="shared" si="22"/>
        <v>7.3036709999999996</v>
      </c>
      <c r="U176" s="24">
        <f t="shared" si="22"/>
        <v>7.3361460000000003</v>
      </c>
      <c r="V176" s="24">
        <f t="shared" si="22"/>
        <v>7.3808049999999996</v>
      </c>
      <c r="W176" s="24">
        <f t="shared" si="22"/>
        <v>7.4150070000000001</v>
      </c>
      <c r="X176" s="24">
        <f t="shared" si="22"/>
        <v>7.4773160000000001</v>
      </c>
      <c r="Y176" s="24">
        <f t="shared" si="22"/>
        <v>7.525595</v>
      </c>
      <c r="Z176" s="24">
        <f t="shared" si="22"/>
        <v>7.560047</v>
      </c>
      <c r="AA176" s="24">
        <f t="shared" si="22"/>
        <v>7.6107399999999998</v>
      </c>
      <c r="AB176" s="24">
        <f t="shared" si="22"/>
        <v>7.6620109999999997</v>
      </c>
      <c r="AC176" s="24">
        <f t="shared" si="22"/>
        <v>7.688974</v>
      </c>
      <c r="AD176" s="24">
        <f t="shared" si="22"/>
        <v>7.7309130000000001</v>
      </c>
      <c r="AE176" s="24">
        <f t="shared" si="22"/>
        <v>7.7764660000000001</v>
      </c>
      <c r="AF176" s="24">
        <f t="shared" si="22"/>
        <v>7.8242859999999999</v>
      </c>
      <c r="AG176" s="24">
        <f t="shared" si="22"/>
        <v>7.8738970000000004</v>
      </c>
      <c r="AH176" s="24">
        <f t="shared" si="22"/>
        <v>7.9267599999999998</v>
      </c>
      <c r="AI176" s="24">
        <f t="shared" si="22"/>
        <v>7.9640649999999997</v>
      </c>
      <c r="AJ176" s="24">
        <f t="shared" si="22"/>
        <v>8.0190239999999999</v>
      </c>
    </row>
    <row r="177" spans="1:36">
      <c r="A177" t="s">
        <v>124</v>
      </c>
      <c r="C177">
        <f>SUM('BIFUbC-natural-gas'!B2:B9)/10^15</f>
        <v>2.4307776849999998</v>
      </c>
      <c r="D177" s="5">
        <f>SUM('BIFUbC-natural-gas'!C2:C9)/10^15</f>
        <v>2.4540712480020179</v>
      </c>
      <c r="E177" s="5">
        <f>SUM('BIFUbC-natural-gas'!D2:D9)/10^15</f>
        <v>2.4773648110040365</v>
      </c>
      <c r="F177" s="5">
        <f>SUM('BIFUbC-natural-gas'!E2:E9)/10^15</f>
        <v>2.5006583740060542</v>
      </c>
      <c r="G177" s="5">
        <f>SUM('BIFUbC-natural-gas'!F2:F9)/10^15</f>
        <v>2.5239519370080714</v>
      </c>
      <c r="H177" s="5">
        <f>SUM('BIFUbC-natural-gas'!G2:G9)/10^15</f>
        <v>2.5472455000100891</v>
      </c>
      <c r="I177" s="5">
        <f>SUM('BIFUbC-natural-gas'!H2:H9)/10^15</f>
        <v>2.5705390630121081</v>
      </c>
      <c r="J177" s="5">
        <f>SUM('BIFUbC-natural-gas'!I2:I9)/10^15</f>
        <v>2.5938326260141258</v>
      </c>
      <c r="K177" s="5">
        <f>SUM('BIFUbC-natural-gas'!J2:J9)/10^15</f>
        <v>2.617126189016143</v>
      </c>
      <c r="L177" s="5">
        <f>SUM('BIFUbC-natural-gas'!K2:K9)/10^15</f>
        <v>2.6404197520181616</v>
      </c>
      <c r="M177" s="5">
        <f>SUM('BIFUbC-natural-gas'!L2:L9)/10^15</f>
        <v>2.6637133150201802</v>
      </c>
      <c r="N177" s="5">
        <f>SUM('BIFUbC-natural-gas'!M2:M9)/10^15</f>
        <v>2.6870068780221983</v>
      </c>
      <c r="O177" s="5">
        <f>SUM('BIFUbC-natural-gas'!N2:N9)/10^15</f>
        <v>2.710300441024216</v>
      </c>
      <c r="P177" s="5">
        <f>SUM('BIFUbC-natural-gas'!O2:O9)/10^15</f>
        <v>2.7335940040262345</v>
      </c>
      <c r="Q177" s="5">
        <f>SUM('BIFUbC-natural-gas'!P2:P9)/10^15</f>
        <v>2.7568875670282527</v>
      </c>
      <c r="R177" s="5">
        <f>SUM('BIFUbC-natural-gas'!Q2:Q9)/10^15</f>
        <v>2.7801811300302708</v>
      </c>
      <c r="S177" s="5">
        <f>SUM('BIFUbC-natural-gas'!R2:R9)/10^15</f>
        <v>2.8034746930322889</v>
      </c>
      <c r="T177" s="5">
        <f>SUM('BIFUbC-natural-gas'!S2:S9)/10^15</f>
        <v>2.8267682560343061</v>
      </c>
      <c r="U177" s="5">
        <f>SUM('BIFUbC-natural-gas'!T2:T9)/10^15</f>
        <v>2.8500618190363252</v>
      </c>
      <c r="V177" s="5">
        <f>SUM('BIFUbC-natural-gas'!U2:U9)/10^15</f>
        <v>2.8733553820383424</v>
      </c>
      <c r="W177" s="5">
        <f>SUM('BIFUbC-natural-gas'!V2:V9)/10^15</f>
        <v>2.8966489450403619</v>
      </c>
      <c r="X177" s="5">
        <f>SUM('BIFUbC-natural-gas'!W2:W9)/10^15</f>
        <v>2.9199425080423795</v>
      </c>
      <c r="Y177" s="5">
        <f>SUM('BIFUbC-natural-gas'!X2:X9)/10^15</f>
        <v>2.9432360710443977</v>
      </c>
      <c r="Z177" s="5">
        <f>SUM('BIFUbC-natural-gas'!Y2:Y9)/10^15</f>
        <v>2.9665296340464158</v>
      </c>
      <c r="AA177" s="5">
        <f>SUM('BIFUbC-natural-gas'!Z2:Z9)/10^15</f>
        <v>2.9898231970484339</v>
      </c>
      <c r="AB177" s="5">
        <f>SUM('BIFUbC-natural-gas'!AA2:AA9)/10^15</f>
        <v>3.0131167600504516</v>
      </c>
      <c r="AC177" s="5">
        <f>SUM('BIFUbC-natural-gas'!AB2:AB9)/10^15</f>
        <v>3.0364103230524706</v>
      </c>
      <c r="AD177" s="5">
        <f>SUM('BIFUbC-natural-gas'!AC2:AC9)/10^15</f>
        <v>3.0597038860544878</v>
      </c>
      <c r="AE177" s="5">
        <f>SUM('BIFUbC-natural-gas'!AD2:AD9)/10^15</f>
        <v>3.0829974490565064</v>
      </c>
      <c r="AF177" s="5">
        <f>SUM('BIFUbC-natural-gas'!AE2:AE9)/10^15</f>
        <v>3.1062910120585245</v>
      </c>
      <c r="AG177" s="5">
        <f>SUM('BIFUbC-natural-gas'!AF2:AF9)/10^15</f>
        <v>3.1295845750605427</v>
      </c>
      <c r="AH177" s="5">
        <f>SUM('BIFUbC-natural-gas'!AG2:AG9)/10^15</f>
        <v>3.1528781380625617</v>
      </c>
      <c r="AI177" s="5">
        <f>SUM('BIFUbC-natural-gas'!AH2:AH9)/10^15</f>
        <v>3.1761717010645789</v>
      </c>
      <c r="AJ177" s="5">
        <f>SUM('BIFUbC-natural-gas'!AI2:AI9)/10^15</f>
        <v>3.1994652640665961</v>
      </c>
    </row>
    <row r="178" spans="1:36" s="5" customFormat="1">
      <c r="A178" s="5" t="s">
        <v>141</v>
      </c>
      <c r="C178" s="24">
        <f>C176-C177</f>
        <v>3.5086823150000006</v>
      </c>
      <c r="D178" s="24">
        <f t="shared" ref="D178:AJ178" si="23">D176-D177</f>
        <v>3.727588751997982</v>
      </c>
      <c r="E178" s="24">
        <f t="shared" si="23"/>
        <v>3.6473731889959633</v>
      </c>
      <c r="F178" s="24">
        <f t="shared" si="23"/>
        <v>3.7920616259939459</v>
      </c>
      <c r="G178" s="24">
        <f t="shared" si="23"/>
        <v>3.9689740629919283</v>
      </c>
      <c r="H178" s="24">
        <f t="shared" si="23"/>
        <v>4.0957364999899113</v>
      </c>
      <c r="I178" s="24">
        <f t="shared" si="23"/>
        <v>4.1891729369878927</v>
      </c>
      <c r="J178" s="24">
        <f t="shared" si="23"/>
        <v>4.2855703739858741</v>
      </c>
      <c r="K178" s="24">
        <f t="shared" si="23"/>
        <v>4.3018278109838572</v>
      </c>
      <c r="L178" s="24">
        <f t="shared" si="23"/>
        <v>4.3427332479818386</v>
      </c>
      <c r="M178" s="24">
        <f t="shared" si="23"/>
        <v>4.4177156849798198</v>
      </c>
      <c r="N178" s="24">
        <f t="shared" si="23"/>
        <v>4.4540301219778016</v>
      </c>
      <c r="O178" s="24">
        <f t="shared" si="23"/>
        <v>4.4929995589757841</v>
      </c>
      <c r="P178" s="24">
        <f t="shared" si="23"/>
        <v>4.4973939959737654</v>
      </c>
      <c r="Q178" s="24">
        <f t="shared" si="23"/>
        <v>4.5163684329717473</v>
      </c>
      <c r="R178" s="24">
        <f t="shared" si="23"/>
        <v>4.5061538699697294</v>
      </c>
      <c r="S178" s="24">
        <f t="shared" si="23"/>
        <v>4.4959213069677109</v>
      </c>
      <c r="T178" s="24">
        <f t="shared" si="23"/>
        <v>4.4769027439656934</v>
      </c>
      <c r="U178" s="24">
        <f t="shared" si="23"/>
        <v>4.4860841809636751</v>
      </c>
      <c r="V178" s="24">
        <f t="shared" si="23"/>
        <v>4.5074496179616572</v>
      </c>
      <c r="W178" s="24">
        <f t="shared" si="23"/>
        <v>4.5183580549596378</v>
      </c>
      <c r="X178" s="24">
        <f t="shared" si="23"/>
        <v>4.5573734919576205</v>
      </c>
      <c r="Y178" s="24">
        <f t="shared" si="23"/>
        <v>4.5823589289556024</v>
      </c>
      <c r="Z178" s="24">
        <f t="shared" si="23"/>
        <v>4.5935173659535842</v>
      </c>
      <c r="AA178" s="24">
        <f t="shared" si="23"/>
        <v>4.6209168029515659</v>
      </c>
      <c r="AB178" s="24">
        <f t="shared" si="23"/>
        <v>4.6488942399495485</v>
      </c>
      <c r="AC178" s="24">
        <f t="shared" si="23"/>
        <v>4.6525636769475298</v>
      </c>
      <c r="AD178" s="24">
        <f t="shared" si="23"/>
        <v>4.6712091139455119</v>
      </c>
      <c r="AE178" s="24">
        <f t="shared" si="23"/>
        <v>4.6934685509434937</v>
      </c>
      <c r="AF178" s="24">
        <f t="shared" si="23"/>
        <v>4.7179949879414753</v>
      </c>
      <c r="AG178" s="24">
        <f t="shared" si="23"/>
        <v>4.7443124249394577</v>
      </c>
      <c r="AH178" s="24">
        <f t="shared" si="23"/>
        <v>4.7738818619374381</v>
      </c>
      <c r="AI178" s="24">
        <f t="shared" si="23"/>
        <v>4.7878932989354208</v>
      </c>
      <c r="AJ178" s="24">
        <f t="shared" si="23"/>
        <v>4.8195587359334038</v>
      </c>
    </row>
    <row r="180" spans="1:36">
      <c r="A180" t="s">
        <v>136</v>
      </c>
      <c r="C180" s="24">
        <f t="shared" ref="C180:AJ180" si="24">C111</f>
        <v>0.61753199999999997</v>
      </c>
      <c r="D180" s="24">
        <f t="shared" si="24"/>
        <v>0.56161700000000003</v>
      </c>
      <c r="E180" s="24">
        <f t="shared" si="24"/>
        <v>0.54829399999999995</v>
      </c>
      <c r="F180" s="24">
        <f t="shared" si="24"/>
        <v>0.56370799999999999</v>
      </c>
      <c r="G180" s="24">
        <f t="shared" si="24"/>
        <v>0.57873399999999997</v>
      </c>
      <c r="H180" s="24">
        <f t="shared" si="24"/>
        <v>0.58974599999999999</v>
      </c>
      <c r="I180" s="24">
        <f t="shared" si="24"/>
        <v>0.59778799999999999</v>
      </c>
      <c r="J180" s="24">
        <f t="shared" si="24"/>
        <v>0.60509100000000005</v>
      </c>
      <c r="K180" s="24">
        <f t="shared" si="24"/>
        <v>0.60940700000000003</v>
      </c>
      <c r="L180" s="24">
        <f t="shared" si="24"/>
        <v>0.60846699999999998</v>
      </c>
      <c r="M180" s="24">
        <f t="shared" si="24"/>
        <v>0.60550000000000004</v>
      </c>
      <c r="N180" s="24">
        <f t="shared" si="24"/>
        <v>0.60349799999999998</v>
      </c>
      <c r="O180" s="24">
        <f t="shared" si="24"/>
        <v>0.599831</v>
      </c>
      <c r="P180" s="24">
        <f t="shared" si="24"/>
        <v>0.592005</v>
      </c>
      <c r="Q180" s="24">
        <f t="shared" si="24"/>
        <v>0.58486800000000005</v>
      </c>
      <c r="R180" s="24">
        <f t="shared" si="24"/>
        <v>0.57698799999999995</v>
      </c>
      <c r="S180" s="24">
        <f t="shared" si="24"/>
        <v>0.56964700000000001</v>
      </c>
      <c r="T180" s="24">
        <f t="shared" si="24"/>
        <v>0.56336299999999995</v>
      </c>
      <c r="U180" s="24">
        <f t="shared" si="24"/>
        <v>0.55598499999999995</v>
      </c>
      <c r="V180" s="24">
        <f t="shared" si="24"/>
        <v>0.55402600000000002</v>
      </c>
      <c r="W180" s="24">
        <f t="shared" si="24"/>
        <v>0.55297200000000002</v>
      </c>
      <c r="X180" s="24">
        <f t="shared" si="24"/>
        <v>0.55160500000000001</v>
      </c>
      <c r="Y180" s="24">
        <f t="shared" si="24"/>
        <v>0.54932499999999995</v>
      </c>
      <c r="Z180" s="24">
        <f t="shared" si="24"/>
        <v>0.54740599999999995</v>
      </c>
      <c r="AA180" s="24">
        <f t="shared" si="24"/>
        <v>0.54637999999999998</v>
      </c>
      <c r="AB180" s="24">
        <f t="shared" si="24"/>
        <v>0.54451000000000005</v>
      </c>
      <c r="AC180" s="24">
        <f t="shared" si="24"/>
        <v>0.54320599999999997</v>
      </c>
      <c r="AD180" s="24">
        <f t="shared" si="24"/>
        <v>0.54232599999999997</v>
      </c>
      <c r="AE180" s="24">
        <f t="shared" si="24"/>
        <v>0.542161</v>
      </c>
      <c r="AF180" s="24">
        <f t="shared" si="24"/>
        <v>0.54118999999999995</v>
      </c>
      <c r="AG180" s="24">
        <f t="shared" si="24"/>
        <v>0.54104200000000002</v>
      </c>
      <c r="AH180" s="24">
        <f t="shared" si="24"/>
        <v>0.541045</v>
      </c>
      <c r="AI180" s="24">
        <f t="shared" si="24"/>
        <v>0.54088199999999997</v>
      </c>
      <c r="AJ180" s="24">
        <f t="shared" si="24"/>
        <v>0.54121799999999998</v>
      </c>
    </row>
    <row r="181" spans="1:36">
      <c r="A181" t="s">
        <v>137</v>
      </c>
      <c r="C181">
        <f>SUM('BIFUbC-biomass'!B2:B9)/10^15</f>
        <v>6.7900000000000002E-2</v>
      </c>
      <c r="D181" s="5">
        <f>SUM('BIFUbC-biomass'!C2:C9)/10^15</f>
        <v>6.8039617315642092E-2</v>
      </c>
      <c r="E181" s="5">
        <f>SUM('BIFUbC-biomass'!D2:D9)/10^15</f>
        <v>6.8179234631284183E-2</v>
      </c>
      <c r="F181" s="5">
        <f>SUM('BIFUbC-biomass'!E2:E9)/10^15</f>
        <v>6.831885194692626E-2</v>
      </c>
      <c r="G181" s="5">
        <f>SUM('BIFUbC-biomass'!F2:F9)/10^15</f>
        <v>6.845846926256835E-2</v>
      </c>
      <c r="H181" s="5">
        <f>SUM('BIFUbC-biomass'!G2:G9)/10^15</f>
        <v>6.8598086578210427E-2</v>
      </c>
      <c r="I181" s="5">
        <f>SUM('BIFUbC-biomass'!H2:H9)/10^15</f>
        <v>6.8737703893852517E-2</v>
      </c>
      <c r="J181" s="5">
        <f>SUM('BIFUbC-biomass'!I2:I9)/10^15</f>
        <v>6.8877321209494607E-2</v>
      </c>
      <c r="K181" s="5">
        <f>SUM('BIFUbC-biomass'!J2:J9)/10^15</f>
        <v>6.901693852513667E-2</v>
      </c>
      <c r="L181" s="5">
        <f>SUM('BIFUbC-biomass'!K2:K9)/10^15</f>
        <v>6.9156555840778761E-2</v>
      </c>
      <c r="M181" s="5">
        <f>SUM('BIFUbC-biomass'!L2:L9)/10^15</f>
        <v>6.9296173156420837E-2</v>
      </c>
      <c r="N181" s="5">
        <f>SUM('BIFUbC-biomass'!M2:M9)/10^15</f>
        <v>6.9435790472062928E-2</v>
      </c>
      <c r="O181" s="5">
        <f>SUM('BIFUbC-biomass'!N2:N9)/10^15</f>
        <v>6.9575407787705018E-2</v>
      </c>
      <c r="P181" s="5">
        <f>SUM('BIFUbC-biomass'!O2:O9)/10^15</f>
        <v>6.9715025103347095E-2</v>
      </c>
      <c r="Q181" s="5">
        <f>SUM('BIFUbC-biomass'!P2:P9)/10^15</f>
        <v>6.9854642418989185E-2</v>
      </c>
      <c r="R181" s="5">
        <f>SUM('BIFUbC-biomass'!Q2:Q9)/10^15</f>
        <v>6.9994259734631276E-2</v>
      </c>
      <c r="S181" s="5">
        <f>SUM('BIFUbC-biomass'!R2:R9)/10^15</f>
        <v>7.0133877050273366E-2</v>
      </c>
      <c r="T181" s="5">
        <f>SUM('BIFUbC-biomass'!S2:S9)/10^15</f>
        <v>7.0273494365915443E-2</v>
      </c>
      <c r="U181" s="5">
        <f>SUM('BIFUbC-biomass'!T2:T9)/10^15</f>
        <v>7.0413111681557533E-2</v>
      </c>
      <c r="V181" s="5">
        <f>SUM('BIFUbC-biomass'!U2:U9)/10^15</f>
        <v>7.055272899719961E-2</v>
      </c>
      <c r="W181" s="5">
        <f>SUM('BIFUbC-biomass'!V2:V9)/10^15</f>
        <v>7.0692346312841686E-2</v>
      </c>
      <c r="X181" s="5">
        <f>SUM('BIFUbC-biomass'!W2:W9)/10^15</f>
        <v>7.0831963628483763E-2</v>
      </c>
      <c r="Y181" s="5">
        <f>SUM('BIFUbC-biomass'!X2:X9)/10^15</f>
        <v>7.0971580944125853E-2</v>
      </c>
      <c r="Z181" s="5">
        <f>SUM('BIFUbC-biomass'!Y2:Y9)/10^15</f>
        <v>7.1111198259767944E-2</v>
      </c>
      <c r="AA181" s="5">
        <f>SUM('BIFUbC-biomass'!Z2:Z9)/10^15</f>
        <v>7.1250815575410034E-2</v>
      </c>
      <c r="AB181" s="5">
        <f>SUM('BIFUbC-biomass'!AA2:AA9)/10^15</f>
        <v>7.1390432891052125E-2</v>
      </c>
      <c r="AC181" s="5">
        <f>SUM('BIFUbC-biomass'!AB2:AB9)/10^15</f>
        <v>7.1530050206694201E-2</v>
      </c>
      <c r="AD181" s="5">
        <f>SUM('BIFUbC-biomass'!AC2:AC9)/10^15</f>
        <v>7.1669667522336278E-2</v>
      </c>
      <c r="AE181" s="5">
        <f>SUM('BIFUbC-biomass'!AD2:AD9)/10^15</f>
        <v>7.1809284837978354E-2</v>
      </c>
      <c r="AF181" s="5">
        <f>SUM('BIFUbC-biomass'!AE2:AE9)/10^15</f>
        <v>7.1948902153620459E-2</v>
      </c>
      <c r="AG181" s="5">
        <f>SUM('BIFUbC-biomass'!AF2:AF9)/10^15</f>
        <v>7.2088519469262549E-2</v>
      </c>
      <c r="AH181" s="5">
        <f>SUM('BIFUbC-biomass'!AG2:AG9)/10^15</f>
        <v>7.2228136784904612E-2</v>
      </c>
      <c r="AI181" s="5">
        <f>SUM('BIFUbC-biomass'!AH2:AH9)/10^15</f>
        <v>7.2367754100546702E-2</v>
      </c>
      <c r="AJ181" s="5">
        <f>SUM('BIFUbC-biomass'!AI2:AI9)/10^15</f>
        <v>7.2507371416188862E-2</v>
      </c>
    </row>
    <row r="182" spans="1:36" s="5" customFormat="1">
      <c r="A182" s="5" t="s">
        <v>141</v>
      </c>
      <c r="C182" s="24">
        <f>C180-C181</f>
        <v>0.54963200000000001</v>
      </c>
      <c r="D182" s="24">
        <f t="shared" ref="D182:AJ182" si="25">D180-D181</f>
        <v>0.49357738268435791</v>
      </c>
      <c r="E182" s="24">
        <f t="shared" si="25"/>
        <v>0.48011476536871578</v>
      </c>
      <c r="F182" s="24">
        <f t="shared" si="25"/>
        <v>0.49538914805307371</v>
      </c>
      <c r="G182" s="24">
        <f t="shared" si="25"/>
        <v>0.51027553073743159</v>
      </c>
      <c r="H182" s="24">
        <f t="shared" si="25"/>
        <v>0.52114791342178957</v>
      </c>
      <c r="I182" s="24">
        <f t="shared" si="25"/>
        <v>0.52905029610614751</v>
      </c>
      <c r="J182" s="24">
        <f t="shared" si="25"/>
        <v>0.53621367879050541</v>
      </c>
      <c r="K182" s="24">
        <f t="shared" si="25"/>
        <v>0.54039006147486335</v>
      </c>
      <c r="L182" s="24">
        <f t="shared" si="25"/>
        <v>0.53931044415922125</v>
      </c>
      <c r="M182" s="24">
        <f t="shared" si="25"/>
        <v>0.53620382684357915</v>
      </c>
      <c r="N182" s="24">
        <f t="shared" si="25"/>
        <v>0.53406220952793704</v>
      </c>
      <c r="O182" s="24">
        <f t="shared" si="25"/>
        <v>0.53025559221229501</v>
      </c>
      <c r="P182" s="24">
        <f t="shared" si="25"/>
        <v>0.52228997489665296</v>
      </c>
      <c r="Q182" s="24">
        <f t="shared" si="25"/>
        <v>0.51501335758101086</v>
      </c>
      <c r="R182" s="24">
        <f t="shared" si="25"/>
        <v>0.5069937402653687</v>
      </c>
      <c r="S182" s="24">
        <f t="shared" si="25"/>
        <v>0.49951312294972666</v>
      </c>
      <c r="T182" s="24">
        <f t="shared" si="25"/>
        <v>0.49308950563408449</v>
      </c>
      <c r="U182" s="24">
        <f t="shared" si="25"/>
        <v>0.48557188831844245</v>
      </c>
      <c r="V182" s="24">
        <f t="shared" si="25"/>
        <v>0.48347327100280041</v>
      </c>
      <c r="W182" s="24">
        <f t="shared" si="25"/>
        <v>0.48227965368715831</v>
      </c>
      <c r="X182" s="24">
        <f t="shared" si="25"/>
        <v>0.48077303637151625</v>
      </c>
      <c r="Y182" s="24">
        <f t="shared" si="25"/>
        <v>0.47835341905587409</v>
      </c>
      <c r="Z182" s="24">
        <f t="shared" si="25"/>
        <v>0.47629480174023198</v>
      </c>
      <c r="AA182" s="24">
        <f t="shared" si="25"/>
        <v>0.47512918442458996</v>
      </c>
      <c r="AB182" s="24">
        <f t="shared" si="25"/>
        <v>0.47311956710894792</v>
      </c>
      <c r="AC182" s="24">
        <f t="shared" si="25"/>
        <v>0.47167594979330574</v>
      </c>
      <c r="AD182" s="24">
        <f t="shared" si="25"/>
        <v>0.4706563324776637</v>
      </c>
      <c r="AE182" s="24">
        <f t="shared" si="25"/>
        <v>0.47035171516202168</v>
      </c>
      <c r="AF182" s="24">
        <f t="shared" si="25"/>
        <v>0.46924109784637946</v>
      </c>
      <c r="AG182" s="24">
        <f t="shared" si="25"/>
        <v>0.46895348053073749</v>
      </c>
      <c r="AH182" s="24">
        <f t="shared" si="25"/>
        <v>0.46881686321509541</v>
      </c>
      <c r="AI182" s="24">
        <f t="shared" si="25"/>
        <v>0.46851424589945329</v>
      </c>
      <c r="AJ182" s="24">
        <f t="shared" si="25"/>
        <v>0.46871062858381113</v>
      </c>
    </row>
    <row r="184" spans="1:36">
      <c r="A184" t="s">
        <v>138</v>
      </c>
      <c r="C184" s="24">
        <f t="shared" ref="C184:AJ184" si="26">C100-C97-C94</f>
        <v>0.43740000000000007</v>
      </c>
      <c r="D184" s="24">
        <f t="shared" si="26"/>
        <v>0.39550000000000002</v>
      </c>
      <c r="E184" s="24">
        <f t="shared" si="26"/>
        <v>0.43639999999999995</v>
      </c>
      <c r="F184" s="24">
        <f t="shared" si="26"/>
        <v>0.46073499999999995</v>
      </c>
      <c r="G184" s="24">
        <f t="shared" si="26"/>
        <v>0.49904300000000007</v>
      </c>
      <c r="H184" s="24">
        <f t="shared" si="26"/>
        <v>0.53980499999999998</v>
      </c>
      <c r="I184" s="24">
        <f t="shared" si="26"/>
        <v>0.57177900000000004</v>
      </c>
      <c r="J184" s="24">
        <f t="shared" si="26"/>
        <v>0.61031900000000006</v>
      </c>
      <c r="K184" s="24">
        <f t="shared" si="26"/>
        <v>0.63794600000000012</v>
      </c>
      <c r="L184" s="24">
        <f t="shared" si="26"/>
        <v>0.656752</v>
      </c>
      <c r="M184" s="24">
        <f t="shared" si="26"/>
        <v>0.69905600000000001</v>
      </c>
      <c r="N184" s="24">
        <f t="shared" si="26"/>
        <v>0.72544900000000001</v>
      </c>
      <c r="O184" s="24">
        <f t="shared" si="26"/>
        <v>0.75990199999999986</v>
      </c>
      <c r="P184" s="24">
        <f t="shared" si="26"/>
        <v>0.77662500000000012</v>
      </c>
      <c r="Q184" s="24">
        <f t="shared" si="26"/>
        <v>0.80020399999999992</v>
      </c>
      <c r="R184" s="24">
        <f t="shared" si="26"/>
        <v>0.82409299999999996</v>
      </c>
      <c r="S184" s="24">
        <f t="shared" si="26"/>
        <v>0.84263599999999994</v>
      </c>
      <c r="T184" s="24">
        <f t="shared" si="26"/>
        <v>0.83963700000000008</v>
      </c>
      <c r="U184" s="24">
        <f t="shared" si="26"/>
        <v>0.85149800000000009</v>
      </c>
      <c r="V184" s="24">
        <f t="shared" si="26"/>
        <v>0.86934200000000006</v>
      </c>
      <c r="W184" s="24">
        <f t="shared" si="26"/>
        <v>0.87480699999999989</v>
      </c>
      <c r="X184" s="24">
        <f t="shared" si="26"/>
        <v>0.900613</v>
      </c>
      <c r="Y184" s="24">
        <f t="shared" si="26"/>
        <v>0.9147829999999999</v>
      </c>
      <c r="Z184" s="24">
        <f t="shared" si="26"/>
        <v>0.92175999999999991</v>
      </c>
      <c r="AA184" s="24">
        <f t="shared" si="26"/>
        <v>0.93500499999999998</v>
      </c>
      <c r="AB184" s="24">
        <f t="shared" si="26"/>
        <v>0.95098799999999994</v>
      </c>
      <c r="AC184" s="24">
        <f t="shared" si="26"/>
        <v>0.94773299999999994</v>
      </c>
      <c r="AD184" s="24">
        <f t="shared" si="26"/>
        <v>0.95917800000000009</v>
      </c>
      <c r="AE184" s="24">
        <f t="shared" si="26"/>
        <v>0.96531700000000009</v>
      </c>
      <c r="AF184" s="24">
        <f t="shared" si="26"/>
        <v>0.97641099999999992</v>
      </c>
      <c r="AG184" s="24">
        <f t="shared" si="26"/>
        <v>0.98738100000000006</v>
      </c>
      <c r="AH184" s="24">
        <f t="shared" si="26"/>
        <v>1.0103650000000002</v>
      </c>
      <c r="AI184" s="24">
        <f t="shared" si="26"/>
        <v>1.0111949999999998</v>
      </c>
      <c r="AJ184" s="24">
        <f t="shared" si="26"/>
        <v>1.0251139999999999</v>
      </c>
    </row>
    <row r="185" spans="1:36">
      <c r="A185" t="s">
        <v>124</v>
      </c>
      <c r="C185">
        <f>SUM('BIFUbC-petroleum-diesel'!B2:B9)/10^15</f>
        <v>0.74521742707494953</v>
      </c>
      <c r="D185" s="5">
        <f>SUM('BIFUbC-petroleum-diesel'!C2:C9)/10^15</f>
        <v>0.75433240542227598</v>
      </c>
      <c r="E185" s="5">
        <f>SUM('BIFUbC-petroleum-diesel'!D2:D9)/10^15</f>
        <v>0.76344738376960253</v>
      </c>
      <c r="F185" s="5">
        <f>SUM('BIFUbC-petroleum-diesel'!E2:E9)/10^15</f>
        <v>0.77256236211692897</v>
      </c>
      <c r="G185" s="5">
        <f>SUM('BIFUbC-petroleum-diesel'!F2:F9)/10^15</f>
        <v>0.78167734046425552</v>
      </c>
      <c r="H185" s="5">
        <f>SUM('BIFUbC-petroleum-diesel'!G2:G9)/10^15</f>
        <v>0.79079231881158207</v>
      </c>
      <c r="I185" s="5">
        <f>SUM('BIFUbC-petroleum-diesel'!H2:H9)/10^15</f>
        <v>0.79990729715890851</v>
      </c>
      <c r="J185" s="5">
        <f>SUM('BIFUbC-petroleum-diesel'!I2:I9)/10^15</f>
        <v>0.80902227550623529</v>
      </c>
      <c r="K185" s="5">
        <f>SUM('BIFUbC-petroleum-diesel'!J2:J9)/10^15</f>
        <v>0.81813725385356162</v>
      </c>
      <c r="L185" s="5">
        <f>SUM('BIFUbC-petroleum-diesel'!K2:K9)/10^15</f>
        <v>0.82725223220088828</v>
      </c>
      <c r="M185" s="5">
        <f>SUM('BIFUbC-petroleum-diesel'!L2:L9)/10^15</f>
        <v>0.83636721054821495</v>
      </c>
      <c r="N185" s="5">
        <f>SUM('BIFUbC-petroleum-diesel'!M2:M9)/10^15</f>
        <v>0.84548218889554139</v>
      </c>
      <c r="O185" s="5">
        <f>SUM('BIFUbC-petroleum-diesel'!N2:N9)/10^15</f>
        <v>0.85459716724286805</v>
      </c>
      <c r="P185" s="5">
        <f>SUM('BIFUbC-petroleum-diesel'!O2:O9)/10^15</f>
        <v>0.86371214559019449</v>
      </c>
      <c r="Q185" s="5">
        <f>SUM('BIFUbC-petroleum-diesel'!P2:P9)/10^15</f>
        <v>0.87282712393752104</v>
      </c>
      <c r="R185" s="5">
        <f>SUM('BIFUbC-petroleum-diesel'!Q2:Q9)/10^15</f>
        <v>0.8819421022848476</v>
      </c>
      <c r="S185" s="5">
        <f>SUM('BIFUbC-petroleum-diesel'!R2:R9)/10^15</f>
        <v>0.89105708063217415</v>
      </c>
      <c r="T185" s="5">
        <f>SUM('BIFUbC-petroleum-diesel'!S2:S9)/10^15</f>
        <v>0.90017205897950059</v>
      </c>
      <c r="U185" s="5">
        <f>SUM('BIFUbC-petroleum-diesel'!T2:T9)/10^15</f>
        <v>0.90928703732682725</v>
      </c>
      <c r="V185" s="5">
        <f>SUM('BIFUbC-petroleum-diesel'!U2:U9)/10^15</f>
        <v>0.9184020156741538</v>
      </c>
      <c r="W185" s="5">
        <f>SUM('BIFUbC-petroleum-diesel'!V2:V9)/10^15</f>
        <v>0.92751699402148025</v>
      </c>
      <c r="X185" s="5">
        <f>SUM('BIFUbC-petroleum-diesel'!W2:W9)/10^15</f>
        <v>0.9366319723688068</v>
      </c>
      <c r="Y185" s="5">
        <f>SUM('BIFUbC-petroleum-diesel'!X2:X9)/10^15</f>
        <v>0.94574695071613335</v>
      </c>
      <c r="Z185" s="5">
        <f>SUM('BIFUbC-petroleum-diesel'!Y2:Y9)/10^15</f>
        <v>0.9548619290634599</v>
      </c>
      <c r="AA185" s="5">
        <f>SUM('BIFUbC-petroleum-diesel'!Z2:Z9)/10^15</f>
        <v>0.96397690741078645</v>
      </c>
      <c r="AB185" s="5">
        <f>SUM('BIFUbC-petroleum-diesel'!AA2:AA9)/10^15</f>
        <v>0.97309188575811301</v>
      </c>
      <c r="AC185" s="5">
        <f>SUM('BIFUbC-petroleum-diesel'!AB2:AB9)/10^15</f>
        <v>0.98220686410543945</v>
      </c>
      <c r="AD185" s="5">
        <f>SUM('BIFUbC-petroleum-diesel'!AC2:AC9)/10^15</f>
        <v>0.99132184245276611</v>
      </c>
      <c r="AE185" s="5">
        <f>SUM('BIFUbC-petroleum-diesel'!AD2:AD9)/10^15</f>
        <v>1.0004368208000924</v>
      </c>
      <c r="AF185" s="5">
        <f>SUM('BIFUbC-petroleum-diesel'!AE2:AE9)/10^15</f>
        <v>1.0095517991474192</v>
      </c>
      <c r="AG185" s="5">
        <f>SUM('BIFUbC-petroleum-diesel'!AF2:AF9)/10^15</f>
        <v>1.0186667774947458</v>
      </c>
      <c r="AH185" s="5">
        <f>SUM('BIFUbC-petroleum-diesel'!AG2:AG9)/10^15</f>
        <v>1.0277817558420723</v>
      </c>
      <c r="AI185" s="5">
        <f>SUM('BIFUbC-petroleum-diesel'!AH2:AH9)/10^15</f>
        <v>1.0368967341893989</v>
      </c>
      <c r="AJ185" s="5">
        <f>SUM('BIFUbC-petroleum-diesel'!AI2:AI9)/10^15</f>
        <v>1.0460117125367256</v>
      </c>
    </row>
    <row r="186" spans="1:36" s="5" customFormat="1">
      <c r="A186" s="5" t="s">
        <v>141</v>
      </c>
      <c r="C186" s="24">
        <f>C184-C185</f>
        <v>-0.30781742707494947</v>
      </c>
      <c r="D186" s="24">
        <f t="shared" ref="D186:AJ186" si="27">D184-D185</f>
        <v>-0.35883240542227596</v>
      </c>
      <c r="E186" s="24">
        <f t="shared" si="27"/>
        <v>-0.32704738376960257</v>
      </c>
      <c r="F186" s="24">
        <f t="shared" si="27"/>
        <v>-0.31182736211692902</v>
      </c>
      <c r="G186" s="24">
        <f t="shared" si="27"/>
        <v>-0.28263434046425545</v>
      </c>
      <c r="H186" s="24">
        <f t="shared" si="27"/>
        <v>-0.25098731881158209</v>
      </c>
      <c r="I186" s="24">
        <f t="shared" si="27"/>
        <v>-0.22812829715890848</v>
      </c>
      <c r="J186" s="24">
        <f t="shared" si="27"/>
        <v>-0.19870327550623523</v>
      </c>
      <c r="K186" s="24">
        <f t="shared" si="27"/>
        <v>-0.18019125385356149</v>
      </c>
      <c r="L186" s="24">
        <f t="shared" si="27"/>
        <v>-0.17050023220088828</v>
      </c>
      <c r="M186" s="24">
        <f t="shared" si="27"/>
        <v>-0.13731121054821493</v>
      </c>
      <c r="N186" s="24">
        <f t="shared" si="27"/>
        <v>-0.12003318889554138</v>
      </c>
      <c r="O186" s="24">
        <f t="shared" si="27"/>
        <v>-9.4695167242868195E-2</v>
      </c>
      <c r="P186" s="24">
        <f t="shared" si="27"/>
        <v>-8.708714559019437E-2</v>
      </c>
      <c r="Q186" s="24">
        <f t="shared" si="27"/>
        <v>-7.2623123937521128E-2</v>
      </c>
      <c r="R186" s="24">
        <f t="shared" si="27"/>
        <v>-5.7849102284847631E-2</v>
      </c>
      <c r="S186" s="24">
        <f t="shared" si="27"/>
        <v>-4.8421080632174207E-2</v>
      </c>
      <c r="T186" s="24">
        <f t="shared" si="27"/>
        <v>-6.0535058979500511E-2</v>
      </c>
      <c r="U186" s="24">
        <f t="shared" si="27"/>
        <v>-5.7789037326827164E-2</v>
      </c>
      <c r="V186" s="24">
        <f t="shared" si="27"/>
        <v>-4.9060015674153745E-2</v>
      </c>
      <c r="W186" s="24">
        <f t="shared" si="27"/>
        <v>-5.2709994021480355E-2</v>
      </c>
      <c r="X186" s="24">
        <f t="shared" si="27"/>
        <v>-3.6018972368806801E-2</v>
      </c>
      <c r="Y186" s="24">
        <f t="shared" si="27"/>
        <v>-3.0963950716133448E-2</v>
      </c>
      <c r="Z186" s="24">
        <f t="shared" si="27"/>
        <v>-3.3101929063459989E-2</v>
      </c>
      <c r="AA186" s="24">
        <f t="shared" si="27"/>
        <v>-2.8971907410786479E-2</v>
      </c>
      <c r="AB186" s="24">
        <f t="shared" si="27"/>
        <v>-2.2103885758113062E-2</v>
      </c>
      <c r="AC186" s="24">
        <f t="shared" si="27"/>
        <v>-3.4473864105439511E-2</v>
      </c>
      <c r="AD186" s="24">
        <f t="shared" si="27"/>
        <v>-3.2143842452766025E-2</v>
      </c>
      <c r="AE186" s="24">
        <f t="shared" si="27"/>
        <v>-3.511982080009235E-2</v>
      </c>
      <c r="AF186" s="24">
        <f t="shared" si="27"/>
        <v>-3.3140799147419298E-2</v>
      </c>
      <c r="AG186" s="24">
        <f t="shared" si="27"/>
        <v>-3.1285777494745703E-2</v>
      </c>
      <c r="AH186" s="24">
        <f t="shared" si="27"/>
        <v>-1.741675584207214E-2</v>
      </c>
      <c r="AI186" s="24">
        <f t="shared" si="27"/>
        <v>-2.5701734189399028E-2</v>
      </c>
      <c r="AJ186" s="24">
        <f t="shared" si="27"/>
        <v>-2.0897712536725788E-2</v>
      </c>
    </row>
    <row r="188" spans="1:36">
      <c r="A188" t="s">
        <v>139</v>
      </c>
      <c r="C188" s="24">
        <f t="shared" ref="C188:AJ188" si="28">C97</f>
        <v>0.26169999999999999</v>
      </c>
      <c r="D188" s="24">
        <f t="shared" si="28"/>
        <v>0.26140000000000002</v>
      </c>
      <c r="E188" s="24">
        <f t="shared" si="28"/>
        <v>0.2616</v>
      </c>
      <c r="F188" s="24">
        <f t="shared" si="28"/>
        <v>0.268758</v>
      </c>
      <c r="G188" s="24">
        <f t="shared" si="28"/>
        <v>0.27503499999999997</v>
      </c>
      <c r="H188" s="24">
        <f t="shared" si="28"/>
        <v>0.27960200000000002</v>
      </c>
      <c r="I188" s="24">
        <f t="shared" si="28"/>
        <v>0.283412</v>
      </c>
      <c r="J188" s="24">
        <f t="shared" si="28"/>
        <v>0.28689700000000001</v>
      </c>
      <c r="K188" s="24">
        <f t="shared" si="28"/>
        <v>0.29019299999999998</v>
      </c>
      <c r="L188" s="24">
        <f t="shared" si="28"/>
        <v>0.29344300000000001</v>
      </c>
      <c r="M188" s="24">
        <f t="shared" si="28"/>
        <v>0.295381</v>
      </c>
      <c r="N188" s="24">
        <f t="shared" si="28"/>
        <v>0.29722799999999999</v>
      </c>
      <c r="O188" s="24">
        <f t="shared" si="28"/>
        <v>0.29903099999999999</v>
      </c>
      <c r="P188" s="24">
        <f t="shared" si="28"/>
        <v>0.29982599999999998</v>
      </c>
      <c r="Q188" s="24">
        <f t="shared" si="28"/>
        <v>0.30136099999999999</v>
      </c>
      <c r="R188" s="24">
        <f t="shared" si="28"/>
        <v>0.30305799999999999</v>
      </c>
      <c r="S188" s="24">
        <f t="shared" si="28"/>
        <v>0.304205</v>
      </c>
      <c r="T188" s="24">
        <f t="shared" si="28"/>
        <v>0.305589</v>
      </c>
      <c r="U188" s="24">
        <f t="shared" si="28"/>
        <v>0.30698599999999998</v>
      </c>
      <c r="V188" s="24">
        <f t="shared" si="28"/>
        <v>0.30851400000000001</v>
      </c>
      <c r="W188" s="24">
        <f t="shared" si="28"/>
        <v>0.31019999999999998</v>
      </c>
      <c r="X188" s="24">
        <f t="shared" si="28"/>
        <v>0.31214799999999998</v>
      </c>
      <c r="Y188" s="24">
        <f t="shared" si="28"/>
        <v>0.31377899999999997</v>
      </c>
      <c r="Z188" s="24">
        <f t="shared" si="28"/>
        <v>0.31533099999999997</v>
      </c>
      <c r="AA188" s="24">
        <f t="shared" si="28"/>
        <v>0.31679800000000002</v>
      </c>
      <c r="AB188" s="24">
        <f t="shared" si="28"/>
        <v>0.31836799999999998</v>
      </c>
      <c r="AC188" s="24">
        <f t="shared" si="28"/>
        <v>0.31982500000000003</v>
      </c>
      <c r="AD188" s="24">
        <f t="shared" si="28"/>
        <v>0.32156600000000002</v>
      </c>
      <c r="AE188" s="24">
        <f t="shared" si="28"/>
        <v>0.323349</v>
      </c>
      <c r="AF188" s="24">
        <f t="shared" si="28"/>
        <v>0.32525500000000002</v>
      </c>
      <c r="AG188" s="24">
        <f t="shared" si="28"/>
        <v>0.32716499999999998</v>
      </c>
      <c r="AH188" s="24">
        <f t="shared" si="28"/>
        <v>0.32925700000000002</v>
      </c>
      <c r="AI188" s="24">
        <f t="shared" si="28"/>
        <v>0.33109300000000003</v>
      </c>
      <c r="AJ188" s="24">
        <f t="shared" si="28"/>
        <v>0.33303899999999997</v>
      </c>
    </row>
    <row r="189" spans="1:36">
      <c r="A189" t="s">
        <v>124</v>
      </c>
      <c r="C189">
        <f>SUM('BIFUbC-heavy-or-residual-oil'!B2:B9)/10^15</f>
        <v>1.5800000000000002E-2</v>
      </c>
      <c r="D189" s="5">
        <f>SUM('BIFUbC-heavy-or-residual-oil'!C2:C9)/10^15</f>
        <v>1.5727931247623072E-2</v>
      </c>
      <c r="E189" s="5">
        <f>SUM('BIFUbC-heavy-or-residual-oil'!D2:D9)/10^15</f>
        <v>1.5655862495246142E-2</v>
      </c>
      <c r="F189" s="5">
        <f>SUM('BIFUbC-heavy-or-residual-oil'!E2:E9)/10^15</f>
        <v>1.5583793742869211E-2</v>
      </c>
      <c r="G189" s="5">
        <f>SUM('BIFUbC-heavy-or-residual-oil'!F2:F9)/10^15</f>
        <v>1.551172499049228E-2</v>
      </c>
      <c r="H189" s="5">
        <f>SUM('BIFUbC-heavy-or-residual-oil'!G2:G9)/10^15</f>
        <v>1.543965623811535E-2</v>
      </c>
      <c r="I189" s="5">
        <f>SUM('BIFUbC-heavy-or-residual-oil'!H2:H9)/10^15</f>
        <v>1.5367587485738418E-2</v>
      </c>
      <c r="J189" s="5">
        <f>SUM('BIFUbC-heavy-or-residual-oil'!I2:I9)/10^15</f>
        <v>1.5295518733361489E-2</v>
      </c>
      <c r="K189" s="5">
        <f>SUM('BIFUbC-heavy-or-residual-oil'!J2:J9)/10^15</f>
        <v>1.5223449980984559E-2</v>
      </c>
      <c r="L189" s="5">
        <f>SUM('BIFUbC-heavy-or-residual-oil'!K2:K9)/10^15</f>
        <v>1.5151381228607626E-2</v>
      </c>
      <c r="M189" s="5">
        <f>SUM('BIFUbC-heavy-or-residual-oil'!L2:L9)/10^15</f>
        <v>1.5079312476230695E-2</v>
      </c>
      <c r="N189" s="5">
        <f>SUM('BIFUbC-heavy-or-residual-oil'!M2:M9)/10^15</f>
        <v>1.5007243723853765E-2</v>
      </c>
      <c r="O189" s="5">
        <f>SUM('BIFUbC-heavy-or-residual-oil'!N2:N9)/10^15</f>
        <v>1.4935174971476835E-2</v>
      </c>
      <c r="P189" s="5">
        <f>SUM('BIFUbC-heavy-or-residual-oil'!O2:O9)/10^15</f>
        <v>1.4863106219099906E-2</v>
      </c>
      <c r="Q189" s="5">
        <f>SUM('BIFUbC-heavy-or-residual-oil'!P2:P9)/10^15</f>
        <v>1.4791037466722976E-2</v>
      </c>
      <c r="R189" s="5">
        <f>SUM('BIFUbC-heavy-or-residual-oil'!Q2:Q9)/10^15</f>
        <v>1.4718968714346047E-2</v>
      </c>
      <c r="S189" s="5">
        <f>SUM('BIFUbC-heavy-or-residual-oil'!R2:R9)/10^15</f>
        <v>1.4646899961969115E-2</v>
      </c>
      <c r="T189" s="5">
        <f>SUM('BIFUbC-heavy-or-residual-oil'!S2:S9)/10^15</f>
        <v>1.4574831209592184E-2</v>
      </c>
      <c r="U189" s="5">
        <f>SUM('BIFUbC-heavy-or-residual-oil'!T2:T9)/10^15</f>
        <v>1.4502762457215256E-2</v>
      </c>
      <c r="V189" s="5">
        <f>SUM('BIFUbC-heavy-or-residual-oil'!U2:U9)/10^15</f>
        <v>1.4430693704838325E-2</v>
      </c>
      <c r="W189" s="5">
        <f>SUM('BIFUbC-heavy-or-residual-oil'!V2:V9)/10^15</f>
        <v>1.4358624952461393E-2</v>
      </c>
      <c r="X189" s="5">
        <f>SUM('BIFUbC-heavy-or-residual-oil'!W2:W9)/10^15</f>
        <v>1.4286556200084465E-2</v>
      </c>
      <c r="Y189" s="5">
        <f>SUM('BIFUbC-heavy-or-residual-oil'!X2:X9)/10^15</f>
        <v>1.4214487447707536E-2</v>
      </c>
      <c r="Z189" s="5">
        <f>SUM('BIFUbC-heavy-or-residual-oil'!Y2:Y9)/10^15</f>
        <v>1.4142418695330604E-2</v>
      </c>
      <c r="AA189" s="5">
        <f>SUM('BIFUbC-heavy-or-residual-oil'!Z2:Z9)/10^15</f>
        <v>1.4070349942953671E-2</v>
      </c>
      <c r="AB189" s="5">
        <f>SUM('BIFUbC-heavy-or-residual-oil'!AA2:AA9)/10^15</f>
        <v>1.3998281190576741E-2</v>
      </c>
      <c r="AC189" s="5">
        <f>SUM('BIFUbC-heavy-or-residual-oil'!AB2:AB9)/10^15</f>
        <v>1.3926212438199812E-2</v>
      </c>
      <c r="AD189" s="5">
        <f>SUM('BIFUbC-heavy-or-residual-oil'!AC2:AC9)/10^15</f>
        <v>1.3854143685822879E-2</v>
      </c>
      <c r="AE189" s="5">
        <f>SUM('BIFUbC-heavy-or-residual-oil'!AD2:AD9)/10^15</f>
        <v>1.3782074933445951E-2</v>
      </c>
      <c r="AF189" s="5">
        <f>SUM('BIFUbC-heavy-or-residual-oil'!AE2:AE9)/10^15</f>
        <v>1.3710006181069019E-2</v>
      </c>
      <c r="AG189" s="5">
        <f>SUM('BIFUbC-heavy-or-residual-oil'!AF2:AF9)/10^15</f>
        <v>1.363793742869209E-2</v>
      </c>
      <c r="AH189" s="5">
        <f>SUM('BIFUbC-heavy-or-residual-oil'!AG2:AG9)/10^15</f>
        <v>1.356586867631516E-2</v>
      </c>
      <c r="AI189" s="5">
        <f>SUM('BIFUbC-heavy-or-residual-oil'!AH2:AH9)/10^15</f>
        <v>1.3493799923938231E-2</v>
      </c>
      <c r="AJ189" s="5">
        <f>SUM('BIFUbC-heavy-or-residual-oil'!AI2:AI9)/10^15</f>
        <v>1.342173117156132E-2</v>
      </c>
    </row>
    <row r="190" spans="1:36" s="5" customFormat="1">
      <c r="A190" s="5" t="s">
        <v>141</v>
      </c>
      <c r="C190" s="24">
        <f>C188-C189</f>
        <v>0.24589999999999998</v>
      </c>
      <c r="D190" s="24">
        <f t="shared" ref="D190:AJ190" si="29">D188-D189</f>
        <v>0.24567206875237696</v>
      </c>
      <c r="E190" s="24">
        <f t="shared" si="29"/>
        <v>0.24594413750475386</v>
      </c>
      <c r="F190" s="24">
        <f t="shared" si="29"/>
        <v>0.25317420625713077</v>
      </c>
      <c r="G190" s="24">
        <f t="shared" si="29"/>
        <v>0.25952327500950767</v>
      </c>
      <c r="H190" s="24">
        <f t="shared" si="29"/>
        <v>0.26416234376188469</v>
      </c>
      <c r="I190" s="24">
        <f t="shared" si="29"/>
        <v>0.26804441251426159</v>
      </c>
      <c r="J190" s="24">
        <f t="shared" si="29"/>
        <v>0.27160148126663852</v>
      </c>
      <c r="K190" s="24">
        <f t="shared" si="29"/>
        <v>0.27496955001901541</v>
      </c>
      <c r="L190" s="24">
        <f t="shared" si="29"/>
        <v>0.27829161877139236</v>
      </c>
      <c r="M190" s="24">
        <f t="shared" si="29"/>
        <v>0.28030168752376933</v>
      </c>
      <c r="N190" s="24">
        <f t="shared" si="29"/>
        <v>0.28222075627614623</v>
      </c>
      <c r="O190" s="24">
        <f t="shared" si="29"/>
        <v>0.28409582502852315</v>
      </c>
      <c r="P190" s="24">
        <f t="shared" si="29"/>
        <v>0.28496289378090006</v>
      </c>
      <c r="Q190" s="24">
        <f t="shared" si="29"/>
        <v>0.28656996253327699</v>
      </c>
      <c r="R190" s="24">
        <f t="shared" si="29"/>
        <v>0.28833903128565397</v>
      </c>
      <c r="S190" s="24">
        <f t="shared" si="29"/>
        <v>0.2895581000380309</v>
      </c>
      <c r="T190" s="24">
        <f t="shared" si="29"/>
        <v>0.29101416879040781</v>
      </c>
      <c r="U190" s="24">
        <f t="shared" si="29"/>
        <v>0.29248323754278471</v>
      </c>
      <c r="V190" s="24">
        <f t="shared" si="29"/>
        <v>0.29408330629516166</v>
      </c>
      <c r="W190" s="24">
        <f t="shared" si="29"/>
        <v>0.2958413750475386</v>
      </c>
      <c r="X190" s="24">
        <f t="shared" si="29"/>
        <v>0.29786144379991553</v>
      </c>
      <c r="Y190" s="24">
        <f t="shared" si="29"/>
        <v>0.29956451255229244</v>
      </c>
      <c r="Z190" s="24">
        <f t="shared" si="29"/>
        <v>0.30118858130466936</v>
      </c>
      <c r="AA190" s="24">
        <f t="shared" si="29"/>
        <v>0.30272765005704633</v>
      </c>
      <c r="AB190" s="24">
        <f t="shared" si="29"/>
        <v>0.30436971880942326</v>
      </c>
      <c r="AC190" s="24">
        <f t="shared" si="29"/>
        <v>0.30589878756180022</v>
      </c>
      <c r="AD190" s="24">
        <f t="shared" si="29"/>
        <v>0.30771185631417713</v>
      </c>
      <c r="AE190" s="24">
        <f t="shared" si="29"/>
        <v>0.30956692506655403</v>
      </c>
      <c r="AF190" s="24">
        <f t="shared" si="29"/>
        <v>0.31154499381893097</v>
      </c>
      <c r="AG190" s="24">
        <f t="shared" si="29"/>
        <v>0.31352706257130791</v>
      </c>
      <c r="AH190" s="24">
        <f t="shared" si="29"/>
        <v>0.31569113132368487</v>
      </c>
      <c r="AI190" s="24">
        <f t="shared" si="29"/>
        <v>0.31759920007606179</v>
      </c>
      <c r="AJ190" s="24">
        <f t="shared" si="29"/>
        <v>0.31961726882843866</v>
      </c>
    </row>
    <row r="192" spans="1:36">
      <c r="A192" t="s">
        <v>140</v>
      </c>
      <c r="C192" s="24">
        <f t="shared" ref="C192:AJ192" si="30">C94</f>
        <v>0</v>
      </c>
      <c r="D192" s="24">
        <f t="shared" si="30"/>
        <v>0</v>
      </c>
      <c r="E192" s="24">
        <f t="shared" si="30"/>
        <v>0</v>
      </c>
      <c r="F192" s="24">
        <f t="shared" si="30"/>
        <v>0</v>
      </c>
      <c r="G192" s="24">
        <f t="shared" si="30"/>
        <v>0</v>
      </c>
      <c r="H192" s="24">
        <f t="shared" si="30"/>
        <v>0</v>
      </c>
      <c r="I192" s="24">
        <f t="shared" si="30"/>
        <v>0</v>
      </c>
      <c r="J192" s="24">
        <f t="shared" si="30"/>
        <v>0</v>
      </c>
      <c r="K192" s="24">
        <f t="shared" si="30"/>
        <v>0</v>
      </c>
      <c r="L192" s="24">
        <f t="shared" si="30"/>
        <v>0</v>
      </c>
      <c r="M192" s="24">
        <f t="shared" si="30"/>
        <v>0</v>
      </c>
      <c r="N192" s="24">
        <f t="shared" si="30"/>
        <v>0</v>
      </c>
      <c r="O192" s="24">
        <f t="shared" si="30"/>
        <v>0</v>
      </c>
      <c r="P192" s="24">
        <f t="shared" si="30"/>
        <v>0</v>
      </c>
      <c r="Q192" s="24">
        <f t="shared" si="30"/>
        <v>0</v>
      </c>
      <c r="R192" s="24">
        <f t="shared" si="30"/>
        <v>0</v>
      </c>
      <c r="S192" s="24">
        <f t="shared" si="30"/>
        <v>0</v>
      </c>
      <c r="T192" s="24">
        <f t="shared" si="30"/>
        <v>0</v>
      </c>
      <c r="U192" s="24">
        <f t="shared" si="30"/>
        <v>0</v>
      </c>
      <c r="V192" s="24">
        <f t="shared" si="30"/>
        <v>0</v>
      </c>
      <c r="W192" s="24">
        <f t="shared" si="30"/>
        <v>0</v>
      </c>
      <c r="X192" s="24">
        <f t="shared" si="30"/>
        <v>0</v>
      </c>
      <c r="Y192" s="24">
        <f t="shared" si="30"/>
        <v>0</v>
      </c>
      <c r="Z192" s="24">
        <f t="shared" si="30"/>
        <v>0</v>
      </c>
      <c r="AA192" s="24">
        <f t="shared" si="30"/>
        <v>0</v>
      </c>
      <c r="AB192" s="24">
        <f t="shared" si="30"/>
        <v>0</v>
      </c>
      <c r="AC192" s="24">
        <f t="shared" si="30"/>
        <v>0</v>
      </c>
      <c r="AD192" s="24">
        <f t="shared" si="30"/>
        <v>0</v>
      </c>
      <c r="AE192" s="24">
        <f t="shared" si="30"/>
        <v>0</v>
      </c>
      <c r="AF192" s="24">
        <f t="shared" si="30"/>
        <v>0</v>
      </c>
      <c r="AG192" s="24">
        <f t="shared" si="30"/>
        <v>0</v>
      </c>
      <c r="AH192" s="24">
        <f t="shared" si="30"/>
        <v>0</v>
      </c>
      <c r="AI192" s="24">
        <f t="shared" si="30"/>
        <v>0</v>
      </c>
      <c r="AJ192" s="24">
        <f t="shared" si="30"/>
        <v>0</v>
      </c>
    </row>
    <row r="193" spans="1:36">
      <c r="A193" t="s">
        <v>124</v>
      </c>
      <c r="C193">
        <f>SUM('BIFUbC-LPG-propane-or-butane'!B2:B9)/10^15</f>
        <v>2.5342825729250502</v>
      </c>
      <c r="D193" s="5">
        <f>SUM('BIFUbC-LPG-propane-or-butane'!C2:C9)/10^15</f>
        <v>2.5844319430129863</v>
      </c>
      <c r="E193" s="5">
        <f>SUM('BIFUbC-LPG-propane-or-butane'!D2:D9)/10^15</f>
        <v>2.6345813131009224</v>
      </c>
      <c r="F193" s="5">
        <f>SUM('BIFUbC-LPG-propane-or-butane'!E2:E9)/10^15</f>
        <v>2.684730683188858</v>
      </c>
      <c r="G193" s="5">
        <f>SUM('BIFUbC-LPG-propane-or-butane'!F2:F9)/10^15</f>
        <v>2.7348800532767941</v>
      </c>
      <c r="H193" s="5">
        <f>SUM('BIFUbC-LPG-propane-or-butane'!G2:G9)/10^15</f>
        <v>2.7850294233647301</v>
      </c>
      <c r="I193" s="5">
        <f>SUM('BIFUbC-LPG-propane-or-butane'!H2:H9)/10^15</f>
        <v>2.8351787934526667</v>
      </c>
      <c r="J193" s="5">
        <f>SUM('BIFUbC-LPG-propane-or-butane'!I2:I9)/10^15</f>
        <v>2.8853281635406018</v>
      </c>
      <c r="K193" s="5">
        <f>SUM('BIFUbC-LPG-propane-or-butane'!J2:J9)/10^15</f>
        <v>2.9354775336285379</v>
      </c>
      <c r="L193" s="5">
        <f>SUM('BIFUbC-LPG-propane-or-butane'!K2:K9)/10^15</f>
        <v>2.985626903716474</v>
      </c>
      <c r="M193" s="5">
        <f>SUM('BIFUbC-LPG-propane-or-butane'!L2:L9)/10^15</f>
        <v>3.0357762738044101</v>
      </c>
      <c r="N193" s="5">
        <f>SUM('BIFUbC-LPG-propane-or-butane'!M2:M9)/10^15</f>
        <v>3.0859256438923461</v>
      </c>
      <c r="O193" s="5">
        <f>SUM('BIFUbC-LPG-propane-or-butane'!N2:N9)/10^15</f>
        <v>3.1360750139802813</v>
      </c>
      <c r="P193" s="5">
        <f>SUM('BIFUbC-LPG-propane-or-butane'!O2:O9)/10^15</f>
        <v>3.1862243840682174</v>
      </c>
      <c r="Q193" s="5">
        <f>SUM('BIFUbC-LPG-propane-or-butane'!P2:P9)/10^15</f>
        <v>3.2363737541561535</v>
      </c>
      <c r="R193" s="5">
        <f>SUM('BIFUbC-LPG-propane-or-butane'!Q2:Q9)/10^15</f>
        <v>3.28652312424409</v>
      </c>
      <c r="S193" s="5">
        <f>SUM('BIFUbC-LPG-propane-or-butane'!R2:R9)/10^15</f>
        <v>3.3366724943320252</v>
      </c>
      <c r="T193" s="5">
        <f>SUM('BIFUbC-LPG-propane-or-butane'!S2:S9)/10^15</f>
        <v>3.3868218644199617</v>
      </c>
      <c r="U193" s="5">
        <f>SUM('BIFUbC-LPG-propane-or-butane'!T2:T9)/10^15</f>
        <v>3.4369712345078969</v>
      </c>
      <c r="V193" s="5">
        <f>SUM('BIFUbC-LPG-propane-or-butane'!U2:U9)/10^15</f>
        <v>3.4871206045958334</v>
      </c>
      <c r="W193" s="5">
        <f>SUM('BIFUbC-LPG-propane-or-butane'!V2:V9)/10^15</f>
        <v>3.537269974683769</v>
      </c>
      <c r="X193" s="5">
        <f>SUM('BIFUbC-LPG-propane-or-butane'!W2:W9)/10^15</f>
        <v>3.587419344771706</v>
      </c>
      <c r="Y193" s="5">
        <f>SUM('BIFUbC-LPG-propane-or-butane'!X2:X9)/10^15</f>
        <v>3.6375687148596412</v>
      </c>
      <c r="Z193" s="5">
        <f>SUM('BIFUbC-LPG-propane-or-butane'!Y2:Y9)/10^15</f>
        <v>3.6877180849475768</v>
      </c>
      <c r="AA193" s="5">
        <f>SUM('BIFUbC-LPG-propane-or-butane'!Z2:Z9)/10^15</f>
        <v>3.7378674550355133</v>
      </c>
      <c r="AB193" s="5">
        <f>SUM('BIFUbC-LPG-propane-or-butane'!AA2:AA9)/10^15</f>
        <v>3.7880168251234489</v>
      </c>
      <c r="AC193" s="5">
        <f>SUM('BIFUbC-LPG-propane-or-butane'!AB2:AB9)/10^15</f>
        <v>3.8381661952113846</v>
      </c>
      <c r="AD193" s="5">
        <f>SUM('BIFUbC-LPG-propane-or-butane'!AC2:AC9)/10^15</f>
        <v>3.8883155652993211</v>
      </c>
      <c r="AE193" s="5">
        <f>SUM('BIFUbC-LPG-propane-or-butane'!AD2:AD9)/10^15</f>
        <v>3.9384649353872572</v>
      </c>
      <c r="AF193" s="5">
        <f>SUM('BIFUbC-LPG-propane-or-butane'!AE2:AE9)/10^15</f>
        <v>3.9886143054751928</v>
      </c>
      <c r="AG193" s="5">
        <f>SUM('BIFUbC-LPG-propane-or-butane'!AF2:AF9)/10^15</f>
        <v>4.0387636755631293</v>
      </c>
      <c r="AH193" s="5">
        <f>SUM('BIFUbC-LPG-propane-or-butane'!AG2:AG9)/10^15</f>
        <v>4.0889130456510641</v>
      </c>
      <c r="AI193" s="5">
        <f>SUM('BIFUbC-LPG-propane-or-butane'!AH2:AH9)/10^15</f>
        <v>4.1390624157390006</v>
      </c>
      <c r="AJ193" s="5">
        <f>SUM('BIFUbC-LPG-propane-or-butane'!AI2:AI9)/10^15</f>
        <v>4.1892117858269291</v>
      </c>
    </row>
    <row r="194" spans="1:36">
      <c r="A194" t="s">
        <v>141</v>
      </c>
      <c r="C194" s="49">
        <f>C192-C193</f>
        <v>-2.5342825729250502</v>
      </c>
      <c r="D194" s="24">
        <f t="shared" ref="D194:AJ194" si="31">D192-D193</f>
        <v>-2.5844319430129863</v>
      </c>
      <c r="E194" s="24">
        <f t="shared" si="31"/>
        <v>-2.6345813131009224</v>
      </c>
      <c r="F194" s="24">
        <f t="shared" si="31"/>
        <v>-2.684730683188858</v>
      </c>
      <c r="G194" s="24">
        <f t="shared" si="31"/>
        <v>-2.7348800532767941</v>
      </c>
      <c r="H194" s="24">
        <f t="shared" si="31"/>
        <v>-2.7850294233647301</v>
      </c>
      <c r="I194" s="24">
        <f t="shared" si="31"/>
        <v>-2.8351787934526667</v>
      </c>
      <c r="J194" s="24">
        <f t="shared" si="31"/>
        <v>-2.8853281635406018</v>
      </c>
      <c r="K194" s="24">
        <f t="shared" si="31"/>
        <v>-2.9354775336285379</v>
      </c>
      <c r="L194" s="24">
        <f t="shared" si="31"/>
        <v>-2.985626903716474</v>
      </c>
      <c r="M194" s="24">
        <f t="shared" si="31"/>
        <v>-3.0357762738044101</v>
      </c>
      <c r="N194" s="24">
        <f t="shared" si="31"/>
        <v>-3.0859256438923461</v>
      </c>
      <c r="O194" s="24">
        <f t="shared" si="31"/>
        <v>-3.1360750139802813</v>
      </c>
      <c r="P194" s="24">
        <f t="shared" si="31"/>
        <v>-3.1862243840682174</v>
      </c>
      <c r="Q194" s="24">
        <f t="shared" si="31"/>
        <v>-3.2363737541561535</v>
      </c>
      <c r="R194" s="24">
        <f t="shared" si="31"/>
        <v>-3.28652312424409</v>
      </c>
      <c r="S194" s="24">
        <f t="shared" si="31"/>
        <v>-3.3366724943320252</v>
      </c>
      <c r="T194" s="24">
        <f t="shared" si="31"/>
        <v>-3.3868218644199617</v>
      </c>
      <c r="U194" s="24">
        <f t="shared" si="31"/>
        <v>-3.4369712345078969</v>
      </c>
      <c r="V194" s="24">
        <f t="shared" si="31"/>
        <v>-3.4871206045958334</v>
      </c>
      <c r="W194" s="24">
        <f t="shared" si="31"/>
        <v>-3.537269974683769</v>
      </c>
      <c r="X194" s="24">
        <f t="shared" si="31"/>
        <v>-3.587419344771706</v>
      </c>
      <c r="Y194" s="24">
        <f t="shared" si="31"/>
        <v>-3.6375687148596412</v>
      </c>
      <c r="Z194" s="24">
        <f t="shared" si="31"/>
        <v>-3.6877180849475768</v>
      </c>
      <c r="AA194" s="24">
        <f t="shared" si="31"/>
        <v>-3.7378674550355133</v>
      </c>
      <c r="AB194" s="24">
        <f t="shared" si="31"/>
        <v>-3.7880168251234489</v>
      </c>
      <c r="AC194" s="24">
        <f t="shared" si="31"/>
        <v>-3.8381661952113846</v>
      </c>
      <c r="AD194" s="24">
        <f t="shared" si="31"/>
        <v>-3.8883155652993211</v>
      </c>
      <c r="AE194" s="24">
        <f t="shared" si="31"/>
        <v>-3.9384649353872572</v>
      </c>
      <c r="AF194" s="24">
        <f t="shared" si="31"/>
        <v>-3.9886143054751928</v>
      </c>
      <c r="AG194" s="24">
        <f t="shared" si="31"/>
        <v>-4.0387636755631293</v>
      </c>
      <c r="AH194" s="24">
        <f t="shared" si="31"/>
        <v>-4.0889130456510641</v>
      </c>
      <c r="AI194" s="24">
        <f t="shared" si="31"/>
        <v>-4.1390624157390006</v>
      </c>
      <c r="AJ194" s="24">
        <f t="shared" si="31"/>
        <v>-4.1892117858269291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08"/>
  <sheetViews>
    <sheetView topLeftCell="A162" zoomScale="75" zoomScaleNormal="75" workbookViewId="0">
      <selection activeCell="C177" sqref="C177"/>
    </sheetView>
  </sheetViews>
  <sheetFormatPr defaultColWidth="10.796875" defaultRowHeight="14.25"/>
  <cols>
    <col min="1" max="1" width="10.796875" style="5"/>
    <col min="2" max="2" width="12.6640625" style="424" bestFit="1" customWidth="1"/>
    <col min="3" max="3" width="17.46484375" style="5" bestFit="1" customWidth="1"/>
    <col min="4" max="4" width="17" style="5" bestFit="1" customWidth="1"/>
    <col min="5" max="5" width="14" style="5" customWidth="1"/>
    <col min="6" max="9" width="16.796875" style="5" bestFit="1" customWidth="1"/>
    <col min="10" max="10" width="11.796875" style="5" customWidth="1"/>
    <col min="11" max="17" width="16.796875" style="5" bestFit="1" customWidth="1"/>
    <col min="18" max="18" width="25.1328125" style="5" bestFit="1" customWidth="1"/>
    <col min="19" max="36" width="16.796875" style="5" bestFit="1" customWidth="1"/>
    <col min="37" max="37" width="17.33203125" style="5" bestFit="1" customWidth="1"/>
    <col min="38" max="39" width="10.796875" style="5"/>
    <col min="40" max="40" width="17" style="5" bestFit="1" customWidth="1"/>
    <col min="41" max="16384" width="10.796875" style="5"/>
  </cols>
  <sheetData>
    <row r="1" spans="1:27">
      <c r="A1" s="5" t="s">
        <v>892</v>
      </c>
    </row>
    <row r="5" spans="1:27" ht="21">
      <c r="A5" s="131" t="s">
        <v>772</v>
      </c>
    </row>
    <row r="7" spans="1:27">
      <c r="A7" s="132" t="s">
        <v>773</v>
      </c>
    </row>
    <row r="9" spans="1:27">
      <c r="A9" s="482" t="s">
        <v>0</v>
      </c>
      <c r="B9" s="484" t="s">
        <v>134</v>
      </c>
      <c r="C9" s="482" t="s">
        <v>135</v>
      </c>
      <c r="D9" s="482" t="s">
        <v>138</v>
      </c>
      <c r="E9" s="482"/>
      <c r="F9" s="482"/>
      <c r="G9" s="482"/>
      <c r="H9" s="482"/>
      <c r="I9" s="482"/>
      <c r="J9" s="482" t="s">
        <v>774</v>
      </c>
      <c r="K9" s="482" t="s">
        <v>136</v>
      </c>
      <c r="L9" s="482"/>
      <c r="M9" s="482" t="s">
        <v>775</v>
      </c>
      <c r="N9" s="482" t="s">
        <v>776</v>
      </c>
      <c r="O9" s="482" t="s">
        <v>777</v>
      </c>
      <c r="P9" s="482" t="s">
        <v>778</v>
      </c>
      <c r="Q9" s="482" t="s">
        <v>779</v>
      </c>
      <c r="R9" s="482" t="s">
        <v>557</v>
      </c>
    </row>
    <row r="10" spans="1:27">
      <c r="A10" s="482"/>
      <c r="B10" s="484"/>
      <c r="C10" s="482"/>
      <c r="D10" s="133" t="s">
        <v>780</v>
      </c>
      <c r="E10" s="133" t="s">
        <v>781</v>
      </c>
      <c r="F10" s="133" t="s">
        <v>782</v>
      </c>
      <c r="G10" s="133" t="s">
        <v>783</v>
      </c>
      <c r="H10" s="133" t="s">
        <v>784</v>
      </c>
      <c r="I10" s="133" t="s">
        <v>557</v>
      </c>
      <c r="J10" s="482"/>
      <c r="K10" s="482"/>
      <c r="L10" s="482"/>
      <c r="M10" s="482"/>
      <c r="N10" s="482"/>
      <c r="O10" s="482"/>
      <c r="P10" s="482"/>
      <c r="Q10" s="482"/>
      <c r="R10" s="482"/>
    </row>
    <row r="11" spans="1:27" ht="28.5">
      <c r="A11" s="482"/>
      <c r="B11" s="425" t="s">
        <v>785</v>
      </c>
      <c r="C11" s="133" t="s">
        <v>786</v>
      </c>
      <c r="D11" s="482" t="s">
        <v>787</v>
      </c>
      <c r="E11" s="482"/>
      <c r="F11" s="482"/>
      <c r="G11" s="482"/>
      <c r="H11" s="482"/>
      <c r="I11" s="482"/>
      <c r="J11" s="133" t="s">
        <v>788</v>
      </c>
      <c r="K11" s="133" t="s">
        <v>789</v>
      </c>
      <c r="L11" s="133" t="s">
        <v>790</v>
      </c>
      <c r="M11" s="482"/>
      <c r="N11" s="482" t="s">
        <v>788</v>
      </c>
      <c r="O11" s="482"/>
      <c r="P11" s="482"/>
      <c r="Q11" s="482"/>
      <c r="R11" s="482"/>
    </row>
    <row r="13" spans="1:27" ht="15.4">
      <c r="A13" s="134">
        <v>1960</v>
      </c>
      <c r="B13" s="426">
        <v>1031</v>
      </c>
      <c r="C13" s="135">
        <v>2029</v>
      </c>
      <c r="D13" s="135">
        <v>10118</v>
      </c>
      <c r="E13" s="135">
        <v>59411</v>
      </c>
      <c r="F13" s="135">
        <v>3798</v>
      </c>
      <c r="G13" s="135">
        <v>4615</v>
      </c>
      <c r="H13" s="135">
        <v>66692</v>
      </c>
      <c r="I13" s="135">
        <v>144635</v>
      </c>
      <c r="J13" s="134">
        <v>0</v>
      </c>
      <c r="K13" s="134" t="s">
        <v>791</v>
      </c>
      <c r="L13" s="134" t="s">
        <v>791</v>
      </c>
      <c r="M13" s="134" t="s">
        <v>791</v>
      </c>
      <c r="N13" s="134" t="s">
        <v>792</v>
      </c>
      <c r="O13" s="135">
        <v>14602</v>
      </c>
      <c r="P13" s="134" t="s">
        <v>791</v>
      </c>
      <c r="Q13" s="134" t="s">
        <v>791</v>
      </c>
      <c r="R13" s="134" t="s">
        <v>791</v>
      </c>
      <c r="W13" s="134"/>
      <c r="Y13" s="134"/>
      <c r="AA13" s="134"/>
    </row>
    <row r="14" spans="1:27" ht="15.4">
      <c r="A14" s="134">
        <v>1961</v>
      </c>
      <c r="B14" s="427">
        <v>760</v>
      </c>
      <c r="C14" s="135">
        <v>2025</v>
      </c>
      <c r="D14" s="135">
        <v>7729</v>
      </c>
      <c r="E14" s="135">
        <v>61869</v>
      </c>
      <c r="F14" s="135">
        <v>3408</v>
      </c>
      <c r="G14" s="135">
        <v>6012</v>
      </c>
      <c r="H14" s="135">
        <v>69029</v>
      </c>
      <c r="I14" s="135">
        <v>148047</v>
      </c>
      <c r="J14" s="134">
        <v>0</v>
      </c>
      <c r="K14" s="134" t="s">
        <v>791</v>
      </c>
      <c r="L14" s="134" t="s">
        <v>791</v>
      </c>
      <c r="M14" s="134" t="s">
        <v>791</v>
      </c>
      <c r="N14" s="134" t="s">
        <v>792</v>
      </c>
      <c r="O14" s="135">
        <v>15280</v>
      </c>
      <c r="P14" s="134" t="s">
        <v>791</v>
      </c>
      <c r="Q14" s="134" t="s">
        <v>791</v>
      </c>
      <c r="R14" s="134" t="s">
        <v>791</v>
      </c>
      <c r="W14" s="134"/>
      <c r="Y14" s="134"/>
      <c r="AA14" s="134"/>
    </row>
    <row r="15" spans="1:27" ht="15.4">
      <c r="A15" s="134">
        <v>1962</v>
      </c>
      <c r="B15" s="427">
        <v>812</v>
      </c>
      <c r="C15" s="135">
        <v>2042</v>
      </c>
      <c r="D15" s="135">
        <v>9341</v>
      </c>
      <c r="E15" s="135">
        <v>67688</v>
      </c>
      <c r="F15" s="135">
        <v>3114</v>
      </c>
      <c r="G15" s="135">
        <v>5614</v>
      </c>
      <c r="H15" s="135">
        <v>73296</v>
      </c>
      <c r="I15" s="135">
        <v>159053</v>
      </c>
      <c r="J15" s="134">
        <v>0</v>
      </c>
      <c r="K15" s="134" t="s">
        <v>791</v>
      </c>
      <c r="L15" s="134" t="s">
        <v>791</v>
      </c>
      <c r="M15" s="134" t="s">
        <v>791</v>
      </c>
      <c r="N15" s="134" t="s">
        <v>792</v>
      </c>
      <c r="O15" s="135">
        <v>17221</v>
      </c>
      <c r="P15" s="134" t="s">
        <v>791</v>
      </c>
      <c r="Q15" s="134" t="s">
        <v>791</v>
      </c>
      <c r="R15" s="134" t="s">
        <v>791</v>
      </c>
      <c r="W15" s="134"/>
      <c r="Y15" s="134"/>
      <c r="AA15" s="134"/>
    </row>
    <row r="16" spans="1:27" ht="15.4">
      <c r="A16" s="134">
        <v>1963</v>
      </c>
      <c r="B16" s="427">
        <v>757</v>
      </c>
      <c r="C16" s="135">
        <v>2043</v>
      </c>
      <c r="D16" s="135">
        <v>8596</v>
      </c>
      <c r="E16" s="135">
        <v>72484</v>
      </c>
      <c r="F16" s="135">
        <v>2998</v>
      </c>
      <c r="G16" s="135">
        <v>5541</v>
      </c>
      <c r="H16" s="135">
        <v>99338</v>
      </c>
      <c r="I16" s="135">
        <v>188958</v>
      </c>
      <c r="J16" s="134">
        <v>0</v>
      </c>
      <c r="K16" s="134" t="s">
        <v>791</v>
      </c>
      <c r="L16" s="134" t="s">
        <v>791</v>
      </c>
      <c r="M16" s="134" t="s">
        <v>791</v>
      </c>
      <c r="N16" s="134" t="s">
        <v>792</v>
      </c>
      <c r="O16" s="135">
        <v>19091</v>
      </c>
      <c r="P16" s="134" t="s">
        <v>791</v>
      </c>
      <c r="Q16" s="134" t="s">
        <v>791</v>
      </c>
      <c r="R16" s="134" t="s">
        <v>791</v>
      </c>
      <c r="W16" s="134"/>
      <c r="Y16" s="134"/>
      <c r="AA16" s="134"/>
    </row>
    <row r="17" spans="1:27" ht="15.4">
      <c r="A17" s="134">
        <v>1964</v>
      </c>
      <c r="B17" s="426">
        <v>1039</v>
      </c>
      <c r="C17" s="135">
        <v>1997</v>
      </c>
      <c r="D17" s="135">
        <v>8590</v>
      </c>
      <c r="E17" s="135">
        <v>83333</v>
      </c>
      <c r="F17" s="135">
        <v>2720</v>
      </c>
      <c r="G17" s="135">
        <v>4778</v>
      </c>
      <c r="H17" s="135">
        <v>107786</v>
      </c>
      <c r="I17" s="135">
        <v>207207</v>
      </c>
      <c r="J17" s="134">
        <v>0</v>
      </c>
      <c r="K17" s="134" t="s">
        <v>791</v>
      </c>
      <c r="L17" s="134" t="s">
        <v>791</v>
      </c>
      <c r="M17" s="134" t="s">
        <v>791</v>
      </c>
      <c r="N17" s="134" t="s">
        <v>792</v>
      </c>
      <c r="O17" s="135">
        <v>21139</v>
      </c>
      <c r="P17" s="134" t="s">
        <v>791</v>
      </c>
      <c r="Q17" s="134" t="s">
        <v>791</v>
      </c>
      <c r="R17" s="134" t="s">
        <v>791</v>
      </c>
      <c r="W17" s="134"/>
      <c r="Y17" s="134"/>
      <c r="AA17" s="134"/>
    </row>
    <row r="18" spans="1:27" ht="15.4">
      <c r="A18" s="134">
        <v>1965</v>
      </c>
      <c r="B18" s="426">
        <v>1136</v>
      </c>
      <c r="C18" s="135">
        <v>2098</v>
      </c>
      <c r="D18" s="135">
        <v>8519</v>
      </c>
      <c r="E18" s="135">
        <v>89166</v>
      </c>
      <c r="F18" s="135">
        <v>2563</v>
      </c>
      <c r="G18" s="135">
        <v>1879</v>
      </c>
      <c r="H18" s="135">
        <v>106935</v>
      </c>
      <c r="I18" s="135">
        <v>209061</v>
      </c>
      <c r="J18" s="134">
        <v>0</v>
      </c>
      <c r="K18" s="134" t="s">
        <v>791</v>
      </c>
      <c r="L18" s="134" t="s">
        <v>791</v>
      </c>
      <c r="M18" s="134" t="s">
        <v>791</v>
      </c>
      <c r="N18" s="134" t="s">
        <v>792</v>
      </c>
      <c r="O18" s="135">
        <v>23685</v>
      </c>
      <c r="P18" s="134" t="s">
        <v>791</v>
      </c>
      <c r="Q18" s="134" t="s">
        <v>791</v>
      </c>
      <c r="R18" s="134" t="s">
        <v>791</v>
      </c>
      <c r="W18" s="134"/>
      <c r="Y18" s="134"/>
      <c r="AA18" s="134"/>
    </row>
    <row r="19" spans="1:27" ht="15.4">
      <c r="A19" s="134">
        <v>1966</v>
      </c>
      <c r="B19" s="426">
        <v>1075</v>
      </c>
      <c r="C19" s="135">
        <v>2209</v>
      </c>
      <c r="D19" s="135">
        <v>8189</v>
      </c>
      <c r="E19" s="135">
        <v>92057</v>
      </c>
      <c r="F19" s="135">
        <v>2203</v>
      </c>
      <c r="G19" s="135">
        <v>1909</v>
      </c>
      <c r="H19" s="135">
        <v>120933</v>
      </c>
      <c r="I19" s="135">
        <v>225290</v>
      </c>
      <c r="J19" s="134">
        <v>0</v>
      </c>
      <c r="K19" s="134" t="s">
        <v>791</v>
      </c>
      <c r="L19" s="134" t="s">
        <v>791</v>
      </c>
      <c r="M19" s="134" t="s">
        <v>791</v>
      </c>
      <c r="N19" s="134" t="s">
        <v>792</v>
      </c>
      <c r="O19" s="135">
        <v>27278</v>
      </c>
      <c r="P19" s="134" t="s">
        <v>791</v>
      </c>
      <c r="Q19" s="134" t="s">
        <v>791</v>
      </c>
      <c r="R19" s="134" t="s">
        <v>791</v>
      </c>
      <c r="W19" s="134"/>
      <c r="Y19" s="134"/>
      <c r="AA19" s="134"/>
    </row>
    <row r="20" spans="1:27" ht="15.4">
      <c r="A20" s="134">
        <v>1967</v>
      </c>
      <c r="B20" s="427">
        <v>914</v>
      </c>
      <c r="C20" s="135">
        <v>2298</v>
      </c>
      <c r="D20" s="135">
        <v>7080</v>
      </c>
      <c r="E20" s="135">
        <v>94436</v>
      </c>
      <c r="F20" s="135">
        <v>1954</v>
      </c>
      <c r="G20" s="135">
        <v>1946</v>
      </c>
      <c r="H20" s="135">
        <v>129755</v>
      </c>
      <c r="I20" s="135">
        <v>235171</v>
      </c>
      <c r="J20" s="134">
        <v>0</v>
      </c>
      <c r="K20" s="134" t="s">
        <v>791</v>
      </c>
      <c r="L20" s="134" t="s">
        <v>791</v>
      </c>
      <c r="M20" s="134" t="s">
        <v>791</v>
      </c>
      <c r="N20" s="134" t="s">
        <v>792</v>
      </c>
      <c r="O20" s="135">
        <v>29842</v>
      </c>
      <c r="P20" s="134" t="s">
        <v>791</v>
      </c>
      <c r="Q20" s="134" t="s">
        <v>791</v>
      </c>
      <c r="R20" s="134" t="s">
        <v>791</v>
      </c>
      <c r="W20" s="134"/>
      <c r="Y20" s="134"/>
      <c r="AA20" s="134"/>
    </row>
    <row r="21" spans="1:27" ht="15.4">
      <c r="A21" s="134">
        <v>1968</v>
      </c>
      <c r="B21" s="427">
        <v>973</v>
      </c>
      <c r="C21" s="135">
        <v>2409</v>
      </c>
      <c r="D21" s="135">
        <v>4841</v>
      </c>
      <c r="E21" s="135">
        <v>106934</v>
      </c>
      <c r="F21" s="135">
        <v>1916</v>
      </c>
      <c r="G21" s="135">
        <v>1952</v>
      </c>
      <c r="H21" s="135">
        <v>137236</v>
      </c>
      <c r="I21" s="135">
        <v>252879</v>
      </c>
      <c r="J21" s="134">
        <v>0</v>
      </c>
      <c r="K21" s="134" t="s">
        <v>791</v>
      </c>
      <c r="L21" s="134" t="s">
        <v>791</v>
      </c>
      <c r="M21" s="134" t="s">
        <v>791</v>
      </c>
      <c r="N21" s="134" t="s">
        <v>792</v>
      </c>
      <c r="O21" s="135">
        <v>33599</v>
      </c>
      <c r="P21" s="134" t="s">
        <v>791</v>
      </c>
      <c r="Q21" s="134" t="s">
        <v>791</v>
      </c>
      <c r="R21" s="134" t="s">
        <v>791</v>
      </c>
      <c r="W21" s="134"/>
      <c r="Y21" s="134"/>
      <c r="AA21" s="134"/>
    </row>
    <row r="22" spans="1:27" ht="15.4">
      <c r="A22" s="134">
        <v>1969</v>
      </c>
      <c r="B22" s="427">
        <v>937</v>
      </c>
      <c r="C22" s="135">
        <v>2456</v>
      </c>
      <c r="D22" s="135">
        <v>8100</v>
      </c>
      <c r="E22" s="135">
        <v>125045</v>
      </c>
      <c r="F22" s="135">
        <v>1626</v>
      </c>
      <c r="G22" s="135">
        <v>2253</v>
      </c>
      <c r="H22" s="135">
        <v>143182</v>
      </c>
      <c r="I22" s="135">
        <v>280207</v>
      </c>
      <c r="J22" s="134">
        <v>0</v>
      </c>
      <c r="K22" s="134" t="s">
        <v>791</v>
      </c>
      <c r="L22" s="134" t="s">
        <v>791</v>
      </c>
      <c r="M22" s="134" t="s">
        <v>791</v>
      </c>
      <c r="N22" s="134" t="s">
        <v>792</v>
      </c>
      <c r="O22" s="135">
        <v>37752</v>
      </c>
      <c r="P22" s="134" t="s">
        <v>791</v>
      </c>
      <c r="Q22" s="134" t="s">
        <v>791</v>
      </c>
      <c r="R22" s="134" t="s">
        <v>791</v>
      </c>
      <c r="W22" s="134"/>
      <c r="Y22" s="134"/>
      <c r="AA22" s="134"/>
    </row>
    <row r="23" spans="1:27" ht="15.4">
      <c r="A23" s="134">
        <v>1970</v>
      </c>
      <c r="B23" s="426">
        <v>1150</v>
      </c>
      <c r="C23" s="135">
        <v>2557</v>
      </c>
      <c r="D23" s="135">
        <v>8947</v>
      </c>
      <c r="E23" s="135">
        <v>127521</v>
      </c>
      <c r="F23" s="135">
        <v>1410</v>
      </c>
      <c r="G23" s="135">
        <v>2297</v>
      </c>
      <c r="H23" s="135">
        <v>147105</v>
      </c>
      <c r="I23" s="135">
        <v>287280</v>
      </c>
      <c r="J23" s="134">
        <v>0</v>
      </c>
      <c r="K23" s="134" t="s">
        <v>791</v>
      </c>
      <c r="L23" s="134" t="s">
        <v>791</v>
      </c>
      <c r="M23" s="134" t="s">
        <v>791</v>
      </c>
      <c r="N23" s="134" t="s">
        <v>792</v>
      </c>
      <c r="O23" s="135">
        <v>40274</v>
      </c>
      <c r="P23" s="134" t="s">
        <v>791</v>
      </c>
      <c r="Q23" s="134" t="s">
        <v>791</v>
      </c>
      <c r="R23" s="134" t="s">
        <v>791</v>
      </c>
      <c r="W23" s="134"/>
      <c r="Y23" s="134"/>
      <c r="AA23" s="134"/>
    </row>
    <row r="24" spans="1:27" ht="15.4">
      <c r="A24" s="134">
        <v>1971</v>
      </c>
      <c r="B24" s="427">
        <v>909</v>
      </c>
      <c r="C24" s="135">
        <v>2718</v>
      </c>
      <c r="D24" s="135">
        <v>9559</v>
      </c>
      <c r="E24" s="135">
        <v>130585</v>
      </c>
      <c r="F24" s="135">
        <v>1507</v>
      </c>
      <c r="G24" s="135">
        <v>1934</v>
      </c>
      <c r="H24" s="135">
        <v>149304</v>
      </c>
      <c r="I24" s="135">
        <v>292889</v>
      </c>
      <c r="J24" s="134">
        <v>0</v>
      </c>
      <c r="K24" s="134" t="s">
        <v>791</v>
      </c>
      <c r="L24" s="134" t="s">
        <v>791</v>
      </c>
      <c r="M24" s="134" t="s">
        <v>791</v>
      </c>
      <c r="N24" s="134" t="s">
        <v>792</v>
      </c>
      <c r="O24" s="135">
        <v>42309</v>
      </c>
      <c r="P24" s="134" t="s">
        <v>791</v>
      </c>
      <c r="Q24" s="134" t="s">
        <v>791</v>
      </c>
      <c r="R24" s="134" t="s">
        <v>791</v>
      </c>
      <c r="W24" s="134"/>
      <c r="Y24" s="134"/>
      <c r="AA24" s="134"/>
    </row>
    <row r="25" spans="1:27" ht="15.4">
      <c r="A25" s="134">
        <v>1972</v>
      </c>
      <c r="B25" s="427">
        <v>921</v>
      </c>
      <c r="C25" s="135">
        <v>2642</v>
      </c>
      <c r="D25" s="135">
        <v>13748</v>
      </c>
      <c r="E25" s="135">
        <v>153699</v>
      </c>
      <c r="F25" s="135">
        <v>1222</v>
      </c>
      <c r="G25" s="135">
        <v>3304</v>
      </c>
      <c r="H25" s="135">
        <v>165519</v>
      </c>
      <c r="I25" s="135">
        <v>337493</v>
      </c>
      <c r="J25" s="134">
        <v>0</v>
      </c>
      <c r="K25" s="134" t="s">
        <v>791</v>
      </c>
      <c r="L25" s="134" t="s">
        <v>791</v>
      </c>
      <c r="M25" s="134" t="s">
        <v>791</v>
      </c>
      <c r="N25" s="134" t="s">
        <v>792</v>
      </c>
      <c r="O25" s="135">
        <v>46267</v>
      </c>
      <c r="P25" s="134" t="s">
        <v>791</v>
      </c>
      <c r="Q25" s="134" t="s">
        <v>791</v>
      </c>
      <c r="R25" s="134" t="s">
        <v>791</v>
      </c>
      <c r="W25" s="134"/>
      <c r="Y25" s="134"/>
      <c r="AA25" s="134"/>
    </row>
    <row r="26" spans="1:27" ht="15.4">
      <c r="A26" s="134">
        <v>1973</v>
      </c>
      <c r="B26" s="426">
        <v>3151</v>
      </c>
      <c r="C26" s="135">
        <v>2854</v>
      </c>
      <c r="D26" s="135">
        <v>15857</v>
      </c>
      <c r="E26" s="135">
        <v>162976</v>
      </c>
      <c r="F26" s="135">
        <v>1184</v>
      </c>
      <c r="G26" s="135">
        <v>7603</v>
      </c>
      <c r="H26" s="135">
        <v>177288</v>
      </c>
      <c r="I26" s="135">
        <v>364908</v>
      </c>
      <c r="J26" s="134">
        <v>0</v>
      </c>
      <c r="K26" s="134" t="s">
        <v>791</v>
      </c>
      <c r="L26" s="134" t="s">
        <v>791</v>
      </c>
      <c r="M26" s="134" t="s">
        <v>791</v>
      </c>
      <c r="N26" s="134" t="s">
        <v>792</v>
      </c>
      <c r="O26" s="135">
        <v>49788</v>
      </c>
      <c r="P26" s="134" t="s">
        <v>791</v>
      </c>
      <c r="Q26" s="134" t="s">
        <v>791</v>
      </c>
      <c r="R26" s="134" t="s">
        <v>791</v>
      </c>
      <c r="W26" s="134"/>
      <c r="Y26" s="134"/>
      <c r="AA26" s="134"/>
    </row>
    <row r="27" spans="1:27" ht="15.4">
      <c r="A27" s="134">
        <v>1974</v>
      </c>
      <c r="B27" s="426">
        <v>3276</v>
      </c>
      <c r="C27" s="135">
        <v>2678</v>
      </c>
      <c r="D27" s="135">
        <v>15158</v>
      </c>
      <c r="E27" s="135">
        <v>160391</v>
      </c>
      <c r="F27" s="135">
        <v>1144</v>
      </c>
      <c r="G27" s="135">
        <v>9040</v>
      </c>
      <c r="H27" s="135">
        <v>177885</v>
      </c>
      <c r="I27" s="135">
        <v>363618</v>
      </c>
      <c r="J27" s="134">
        <v>0</v>
      </c>
      <c r="K27" s="134" t="s">
        <v>791</v>
      </c>
      <c r="L27" s="134" t="s">
        <v>791</v>
      </c>
      <c r="M27" s="134" t="s">
        <v>791</v>
      </c>
      <c r="N27" s="134" t="s">
        <v>792</v>
      </c>
      <c r="O27" s="135">
        <v>51615</v>
      </c>
      <c r="P27" s="134" t="s">
        <v>791</v>
      </c>
      <c r="Q27" s="134" t="s">
        <v>791</v>
      </c>
      <c r="R27" s="134" t="s">
        <v>791</v>
      </c>
      <c r="W27" s="134"/>
      <c r="Y27" s="134"/>
      <c r="AA27" s="134"/>
    </row>
    <row r="28" spans="1:27" ht="15.4">
      <c r="A28" s="134">
        <v>1975</v>
      </c>
      <c r="B28" s="426">
        <v>3720</v>
      </c>
      <c r="C28" s="135">
        <v>2160</v>
      </c>
      <c r="D28" s="135">
        <v>15301</v>
      </c>
      <c r="E28" s="135">
        <v>143075</v>
      </c>
      <c r="F28" s="134">
        <v>997</v>
      </c>
      <c r="G28" s="135">
        <v>11070</v>
      </c>
      <c r="H28" s="135">
        <v>164810</v>
      </c>
      <c r="I28" s="135">
        <v>335253</v>
      </c>
      <c r="J28" s="134">
        <v>5</v>
      </c>
      <c r="K28" s="134" t="s">
        <v>791</v>
      </c>
      <c r="L28" s="134" t="s">
        <v>791</v>
      </c>
      <c r="M28" s="134" t="s">
        <v>791</v>
      </c>
      <c r="N28" s="134" t="s">
        <v>792</v>
      </c>
      <c r="O28" s="135">
        <v>54712</v>
      </c>
      <c r="P28" s="134" t="s">
        <v>791</v>
      </c>
      <c r="Q28" s="134" t="s">
        <v>791</v>
      </c>
      <c r="R28" s="134" t="s">
        <v>791</v>
      </c>
      <c r="W28" s="134"/>
      <c r="Y28" s="134"/>
      <c r="AA28" s="134"/>
    </row>
    <row r="29" spans="1:27" ht="15.4">
      <c r="A29" s="134">
        <v>1976</v>
      </c>
      <c r="B29" s="426">
        <v>3630</v>
      </c>
      <c r="C29" s="135">
        <v>2154</v>
      </c>
      <c r="D29" s="135">
        <v>17351</v>
      </c>
      <c r="E29" s="135">
        <v>142142</v>
      </c>
      <c r="F29" s="135">
        <v>1215</v>
      </c>
      <c r="G29" s="135">
        <v>13081</v>
      </c>
      <c r="H29" s="135">
        <v>195335</v>
      </c>
      <c r="I29" s="135">
        <v>369124</v>
      </c>
      <c r="J29" s="134">
        <v>5</v>
      </c>
      <c r="K29" s="134" t="s">
        <v>791</v>
      </c>
      <c r="L29" s="134" t="s">
        <v>791</v>
      </c>
      <c r="M29" s="134" t="s">
        <v>791</v>
      </c>
      <c r="N29" s="134" t="s">
        <v>792</v>
      </c>
      <c r="O29" s="135">
        <v>60264</v>
      </c>
      <c r="P29" s="134" t="s">
        <v>791</v>
      </c>
      <c r="Q29" s="134" t="s">
        <v>791</v>
      </c>
      <c r="R29" s="134" t="s">
        <v>791</v>
      </c>
      <c r="W29" s="134"/>
      <c r="Y29" s="134"/>
      <c r="AA29" s="134"/>
    </row>
    <row r="30" spans="1:27" ht="15.4">
      <c r="A30" s="134">
        <v>1977</v>
      </c>
      <c r="B30" s="426">
        <v>3159</v>
      </c>
      <c r="C30" s="135">
        <v>2159</v>
      </c>
      <c r="D30" s="135">
        <v>27081</v>
      </c>
      <c r="E30" s="135">
        <v>144264</v>
      </c>
      <c r="F30" s="134">
        <v>951</v>
      </c>
      <c r="G30" s="135">
        <v>15703</v>
      </c>
      <c r="H30" s="135">
        <v>229730</v>
      </c>
      <c r="I30" s="135">
        <v>417729</v>
      </c>
      <c r="J30" s="134">
        <v>5</v>
      </c>
      <c r="K30" s="134" t="s">
        <v>791</v>
      </c>
      <c r="L30" s="134" t="s">
        <v>791</v>
      </c>
      <c r="M30" s="134" t="s">
        <v>791</v>
      </c>
      <c r="N30" s="134" t="s">
        <v>792</v>
      </c>
      <c r="O30" s="135">
        <v>68279</v>
      </c>
      <c r="P30" s="134" t="s">
        <v>791</v>
      </c>
      <c r="Q30" s="134" t="s">
        <v>791</v>
      </c>
      <c r="R30" s="134" t="s">
        <v>791</v>
      </c>
      <c r="W30" s="134"/>
      <c r="Y30" s="134"/>
      <c r="AA30" s="134"/>
    </row>
    <row r="31" spans="1:27" ht="15.4">
      <c r="A31" s="134">
        <v>1978</v>
      </c>
      <c r="B31" s="426">
        <v>3649</v>
      </c>
      <c r="C31" s="135">
        <v>2202</v>
      </c>
      <c r="D31" s="135">
        <v>29646</v>
      </c>
      <c r="E31" s="135">
        <v>145944</v>
      </c>
      <c r="F31" s="134">
        <v>721</v>
      </c>
      <c r="G31" s="135">
        <v>16830</v>
      </c>
      <c r="H31" s="135">
        <v>250903</v>
      </c>
      <c r="I31" s="135">
        <v>444044</v>
      </c>
      <c r="J31" s="134">
        <v>0</v>
      </c>
      <c r="K31" s="134" t="s">
        <v>791</v>
      </c>
      <c r="L31" s="134" t="s">
        <v>791</v>
      </c>
      <c r="M31" s="134" t="s">
        <v>791</v>
      </c>
      <c r="N31" s="134" t="s">
        <v>792</v>
      </c>
      <c r="O31" s="135">
        <v>72234</v>
      </c>
      <c r="P31" s="134" t="s">
        <v>791</v>
      </c>
      <c r="Q31" s="134" t="s">
        <v>791</v>
      </c>
      <c r="R31" s="134" t="s">
        <v>791</v>
      </c>
      <c r="W31" s="134"/>
      <c r="Y31" s="134"/>
      <c r="AA31" s="134"/>
    </row>
    <row r="32" spans="1:27" ht="15.4">
      <c r="A32" s="134">
        <v>1979</v>
      </c>
      <c r="B32" s="426">
        <v>4473</v>
      </c>
      <c r="C32" s="135">
        <v>1974</v>
      </c>
      <c r="D32" s="135">
        <v>34141</v>
      </c>
      <c r="E32" s="135">
        <v>190341</v>
      </c>
      <c r="F32" s="134">
        <v>878</v>
      </c>
      <c r="G32" s="135">
        <v>17557</v>
      </c>
      <c r="H32" s="135">
        <v>276059</v>
      </c>
      <c r="I32" s="135">
        <v>518976</v>
      </c>
      <c r="J32" s="134">
        <v>0</v>
      </c>
      <c r="K32" s="134" t="s">
        <v>791</v>
      </c>
      <c r="L32" s="134" t="s">
        <v>791</v>
      </c>
      <c r="M32" s="134" t="s">
        <v>791</v>
      </c>
      <c r="N32" s="134" t="s">
        <v>792</v>
      </c>
      <c r="O32" s="135">
        <v>76419</v>
      </c>
      <c r="P32" s="134" t="s">
        <v>791</v>
      </c>
      <c r="Q32" s="134" t="s">
        <v>791</v>
      </c>
      <c r="R32" s="134" t="s">
        <v>791</v>
      </c>
      <c r="W32" s="134"/>
      <c r="Y32" s="134"/>
      <c r="AA32" s="134"/>
    </row>
    <row r="33" spans="1:27" ht="15.4">
      <c r="A33" s="134">
        <v>1980</v>
      </c>
      <c r="B33" s="426">
        <v>3250</v>
      </c>
      <c r="C33" s="135">
        <v>2163</v>
      </c>
      <c r="D33" s="135">
        <v>20250</v>
      </c>
      <c r="E33" s="135">
        <v>208898</v>
      </c>
      <c r="F33" s="134">
        <v>470</v>
      </c>
      <c r="G33" s="135">
        <v>16029</v>
      </c>
      <c r="H33" s="135">
        <v>287243</v>
      </c>
      <c r="I33" s="135">
        <v>532890</v>
      </c>
      <c r="J33" s="134">
        <v>0</v>
      </c>
      <c r="K33" s="134" t="s">
        <v>791</v>
      </c>
      <c r="L33" s="134" t="s">
        <v>791</v>
      </c>
      <c r="M33" s="134" t="s">
        <v>791</v>
      </c>
      <c r="N33" s="134" t="s">
        <v>792</v>
      </c>
      <c r="O33" s="135">
        <v>78190</v>
      </c>
      <c r="P33" s="134" t="s">
        <v>791</v>
      </c>
      <c r="Q33" s="134" t="s">
        <v>791</v>
      </c>
      <c r="R33" s="134" t="s">
        <v>791</v>
      </c>
      <c r="W33" s="134"/>
      <c r="Y33" s="134"/>
      <c r="AA33" s="134"/>
    </row>
    <row r="34" spans="1:27" ht="15.4">
      <c r="A34" s="134">
        <v>1981</v>
      </c>
      <c r="B34" s="426">
        <v>5217</v>
      </c>
      <c r="C34" s="135">
        <v>2080</v>
      </c>
      <c r="D34" s="135">
        <v>28539</v>
      </c>
      <c r="E34" s="135">
        <v>221565</v>
      </c>
      <c r="F34" s="134">
        <v>750</v>
      </c>
      <c r="G34" s="135">
        <v>28370</v>
      </c>
      <c r="H34" s="135">
        <v>220232</v>
      </c>
      <c r="I34" s="135">
        <v>499456</v>
      </c>
      <c r="J34" s="134">
        <v>0</v>
      </c>
      <c r="K34" s="134" t="s">
        <v>791</v>
      </c>
      <c r="L34" s="134" t="s">
        <v>791</v>
      </c>
      <c r="M34" s="134" t="s">
        <v>791</v>
      </c>
      <c r="N34" s="134" t="s">
        <v>792</v>
      </c>
      <c r="O34" s="135">
        <v>79905</v>
      </c>
      <c r="P34" s="134" t="s">
        <v>791</v>
      </c>
      <c r="Q34" s="134" t="s">
        <v>791</v>
      </c>
      <c r="R34" s="134" t="s">
        <v>791</v>
      </c>
      <c r="W34" s="134"/>
      <c r="Y34" s="134"/>
      <c r="AA34" s="134"/>
    </row>
    <row r="35" spans="1:27" ht="15.4">
      <c r="A35" s="134">
        <v>1982</v>
      </c>
      <c r="B35" s="426">
        <v>4670</v>
      </c>
      <c r="C35" s="135">
        <v>1595</v>
      </c>
      <c r="D35" s="135">
        <v>27280</v>
      </c>
      <c r="E35" s="135">
        <v>210873</v>
      </c>
      <c r="F35" s="134">
        <v>637</v>
      </c>
      <c r="G35" s="135">
        <v>26848</v>
      </c>
      <c r="H35" s="135">
        <v>183538</v>
      </c>
      <c r="I35" s="135">
        <v>449176</v>
      </c>
      <c r="J35" s="134">
        <v>0</v>
      </c>
      <c r="K35" s="134" t="s">
        <v>791</v>
      </c>
      <c r="L35" s="134" t="s">
        <v>791</v>
      </c>
      <c r="M35" s="134" t="s">
        <v>791</v>
      </c>
      <c r="N35" s="134" t="s">
        <v>792</v>
      </c>
      <c r="O35" s="135">
        <v>76055</v>
      </c>
      <c r="P35" s="134" t="s">
        <v>791</v>
      </c>
      <c r="Q35" s="134" t="s">
        <v>791</v>
      </c>
      <c r="R35" s="134" t="s">
        <v>791</v>
      </c>
      <c r="W35" s="134"/>
      <c r="Y35" s="134"/>
      <c r="AA35" s="134"/>
    </row>
    <row r="36" spans="1:27" ht="15.4">
      <c r="A36" s="134">
        <v>1983</v>
      </c>
      <c r="B36" s="426">
        <v>4194</v>
      </c>
      <c r="C36" s="135">
        <v>1573</v>
      </c>
      <c r="D36" s="135">
        <v>32172</v>
      </c>
      <c r="E36" s="135">
        <v>194749</v>
      </c>
      <c r="F36" s="134">
        <v>535</v>
      </c>
      <c r="G36" s="135">
        <v>14395</v>
      </c>
      <c r="H36" s="135">
        <v>184671</v>
      </c>
      <c r="I36" s="135">
        <v>426521</v>
      </c>
      <c r="J36" s="134">
        <v>0</v>
      </c>
      <c r="K36" s="134" t="s">
        <v>791</v>
      </c>
      <c r="L36" s="134" t="s">
        <v>791</v>
      </c>
      <c r="M36" s="134" t="s">
        <v>791</v>
      </c>
      <c r="N36" s="134" t="s">
        <v>792</v>
      </c>
      <c r="O36" s="135">
        <v>79629</v>
      </c>
      <c r="P36" s="134" t="s">
        <v>791</v>
      </c>
      <c r="Q36" s="134" t="s">
        <v>791</v>
      </c>
      <c r="R36" s="134" t="s">
        <v>791</v>
      </c>
      <c r="W36" s="134"/>
      <c r="Y36" s="134"/>
      <c r="AA36" s="134"/>
    </row>
    <row r="37" spans="1:27" ht="15.4">
      <c r="A37" s="134">
        <v>1984</v>
      </c>
      <c r="B37" s="426">
        <v>5495</v>
      </c>
      <c r="C37" s="135">
        <v>1663</v>
      </c>
      <c r="D37" s="135">
        <v>25463</v>
      </c>
      <c r="E37" s="135">
        <v>285494</v>
      </c>
      <c r="F37" s="135">
        <v>2250</v>
      </c>
      <c r="G37" s="135">
        <v>9622</v>
      </c>
      <c r="H37" s="135">
        <v>175928</v>
      </c>
      <c r="I37" s="135">
        <v>498758</v>
      </c>
      <c r="J37" s="134">
        <v>0</v>
      </c>
      <c r="K37" s="134" t="s">
        <v>791</v>
      </c>
      <c r="L37" s="134" t="s">
        <v>791</v>
      </c>
      <c r="M37" s="134" t="s">
        <v>791</v>
      </c>
      <c r="N37" s="134" t="s">
        <v>792</v>
      </c>
      <c r="O37" s="135">
        <v>82742</v>
      </c>
      <c r="P37" s="134" t="s">
        <v>791</v>
      </c>
      <c r="Q37" s="134" t="s">
        <v>791</v>
      </c>
      <c r="R37" s="134" t="s">
        <v>791</v>
      </c>
      <c r="W37" s="134"/>
      <c r="Y37" s="134"/>
      <c r="AA37" s="134"/>
    </row>
    <row r="38" spans="1:27" ht="15.4">
      <c r="A38" s="134">
        <v>1985</v>
      </c>
      <c r="B38" s="426">
        <v>5192</v>
      </c>
      <c r="C38" s="135">
        <v>1732</v>
      </c>
      <c r="D38" s="135">
        <v>19330</v>
      </c>
      <c r="E38" s="135">
        <v>275079</v>
      </c>
      <c r="F38" s="135">
        <v>4704</v>
      </c>
      <c r="G38" s="135">
        <v>5969</v>
      </c>
      <c r="H38" s="135">
        <v>172257</v>
      </c>
      <c r="I38" s="135">
        <v>477338</v>
      </c>
      <c r="J38" s="134">
        <v>0</v>
      </c>
      <c r="K38" s="134" t="s">
        <v>791</v>
      </c>
      <c r="L38" s="134" t="s">
        <v>791</v>
      </c>
      <c r="M38" s="134" t="s">
        <v>791</v>
      </c>
      <c r="N38" s="134" t="s">
        <v>792</v>
      </c>
      <c r="O38" s="135">
        <v>81235</v>
      </c>
      <c r="P38" s="134" t="s">
        <v>791</v>
      </c>
      <c r="Q38" s="134" t="s">
        <v>791</v>
      </c>
      <c r="R38" s="134" t="s">
        <v>791</v>
      </c>
      <c r="W38" s="134"/>
      <c r="Y38" s="134"/>
      <c r="AA38" s="134"/>
    </row>
    <row r="39" spans="1:27" ht="15.4">
      <c r="A39" s="134">
        <v>1986</v>
      </c>
      <c r="B39" s="426">
        <v>4488</v>
      </c>
      <c r="C39" s="135">
        <v>1655</v>
      </c>
      <c r="D39" s="135">
        <v>20366</v>
      </c>
      <c r="E39" s="135">
        <v>267502</v>
      </c>
      <c r="F39" s="135">
        <v>4542</v>
      </c>
      <c r="G39" s="135">
        <v>1680</v>
      </c>
      <c r="H39" s="135">
        <v>195766</v>
      </c>
      <c r="I39" s="135">
        <v>489855</v>
      </c>
      <c r="J39" s="134">
        <v>0</v>
      </c>
      <c r="K39" s="134" t="s">
        <v>791</v>
      </c>
      <c r="L39" s="134" t="s">
        <v>791</v>
      </c>
      <c r="M39" s="134" t="s">
        <v>791</v>
      </c>
      <c r="N39" s="134" t="s">
        <v>792</v>
      </c>
      <c r="O39" s="135">
        <v>79527</v>
      </c>
      <c r="P39" s="134" t="s">
        <v>791</v>
      </c>
      <c r="Q39" s="134" t="s">
        <v>791</v>
      </c>
      <c r="R39" s="134" t="s">
        <v>791</v>
      </c>
      <c r="W39" s="134"/>
      <c r="Y39" s="134"/>
      <c r="AA39" s="134"/>
    </row>
    <row r="40" spans="1:27" ht="15.4">
      <c r="A40" s="134">
        <v>1987</v>
      </c>
      <c r="B40" s="426">
        <v>4083</v>
      </c>
      <c r="C40" s="135">
        <v>1805</v>
      </c>
      <c r="D40" s="135">
        <v>16445</v>
      </c>
      <c r="E40" s="135">
        <v>294182</v>
      </c>
      <c r="F40" s="135">
        <v>4224</v>
      </c>
      <c r="G40" s="135">
        <v>1344</v>
      </c>
      <c r="H40" s="135">
        <v>196028</v>
      </c>
      <c r="I40" s="135">
        <v>512223</v>
      </c>
      <c r="J40" s="134">
        <v>0</v>
      </c>
      <c r="K40" s="134" t="s">
        <v>791</v>
      </c>
      <c r="L40" s="134" t="s">
        <v>791</v>
      </c>
      <c r="M40" s="134" t="s">
        <v>791</v>
      </c>
      <c r="N40" s="134" t="s">
        <v>792</v>
      </c>
      <c r="O40" s="135">
        <v>79238</v>
      </c>
      <c r="P40" s="134" t="s">
        <v>791</v>
      </c>
      <c r="Q40" s="134" t="s">
        <v>791</v>
      </c>
      <c r="R40" s="134" t="s">
        <v>791</v>
      </c>
      <c r="W40" s="134"/>
      <c r="Y40" s="134"/>
      <c r="AA40" s="134"/>
    </row>
    <row r="41" spans="1:27" ht="15.4">
      <c r="A41" s="134">
        <v>1988</v>
      </c>
      <c r="B41" s="426">
        <v>3708</v>
      </c>
      <c r="C41" s="135">
        <v>1994</v>
      </c>
      <c r="D41" s="135">
        <v>17538</v>
      </c>
      <c r="E41" s="135">
        <v>312804</v>
      </c>
      <c r="F41" s="135">
        <v>4123</v>
      </c>
      <c r="G41" s="135">
        <v>1040</v>
      </c>
      <c r="H41" s="135">
        <v>215122</v>
      </c>
      <c r="I41" s="135">
        <v>550627</v>
      </c>
      <c r="J41" s="134">
        <v>0</v>
      </c>
      <c r="K41" s="134" t="s">
        <v>791</v>
      </c>
      <c r="L41" s="134" t="s">
        <v>791</v>
      </c>
      <c r="M41" s="134" t="s">
        <v>791</v>
      </c>
      <c r="N41" s="134" t="s">
        <v>792</v>
      </c>
      <c r="O41" s="135">
        <v>81579</v>
      </c>
      <c r="P41" s="134" t="s">
        <v>791</v>
      </c>
      <c r="Q41" s="134" t="s">
        <v>791</v>
      </c>
      <c r="R41" s="134" t="s">
        <v>791</v>
      </c>
      <c r="W41" s="134"/>
      <c r="Y41" s="134"/>
      <c r="AA41" s="134"/>
    </row>
    <row r="42" spans="1:27" ht="15.4">
      <c r="A42" s="134">
        <v>1989</v>
      </c>
      <c r="B42" s="426">
        <v>4275</v>
      </c>
      <c r="C42" s="135">
        <v>2080</v>
      </c>
      <c r="D42" s="135">
        <v>17799</v>
      </c>
      <c r="E42" s="135">
        <v>325130</v>
      </c>
      <c r="F42" s="135">
        <v>4517</v>
      </c>
      <c r="G42" s="134">
        <v>503</v>
      </c>
      <c r="H42" s="135">
        <v>209197</v>
      </c>
      <c r="I42" s="135">
        <v>557144</v>
      </c>
      <c r="J42" s="134">
        <v>0</v>
      </c>
      <c r="K42" s="134" t="s">
        <v>791</v>
      </c>
      <c r="L42" s="134" t="s">
        <v>791</v>
      </c>
      <c r="M42" s="134" t="s">
        <v>791</v>
      </c>
      <c r="N42" s="134" t="s">
        <v>793</v>
      </c>
      <c r="O42" s="135">
        <v>82615</v>
      </c>
      <c r="P42" s="134" t="s">
        <v>791</v>
      </c>
      <c r="Q42" s="134" t="s">
        <v>791</v>
      </c>
      <c r="R42" s="134" t="s">
        <v>791</v>
      </c>
      <c r="W42" s="134"/>
      <c r="Y42" s="134"/>
      <c r="AA42" s="134"/>
    </row>
    <row r="43" spans="1:27" ht="15.4">
      <c r="A43" s="134">
        <v>1990</v>
      </c>
      <c r="B43" s="426">
        <v>4157</v>
      </c>
      <c r="C43" s="135">
        <v>2105</v>
      </c>
      <c r="D43" s="135">
        <v>17592</v>
      </c>
      <c r="E43" s="135">
        <v>318417</v>
      </c>
      <c r="F43" s="135">
        <v>4336</v>
      </c>
      <c r="G43" s="135">
        <v>1273</v>
      </c>
      <c r="H43" s="135">
        <v>237434</v>
      </c>
      <c r="I43" s="135">
        <v>579052</v>
      </c>
      <c r="J43" s="134">
        <v>0</v>
      </c>
      <c r="K43" s="134" t="s">
        <v>791</v>
      </c>
      <c r="L43" s="134" t="s">
        <v>791</v>
      </c>
      <c r="M43" s="134" t="s">
        <v>791</v>
      </c>
      <c r="N43" s="134" t="s">
        <v>793</v>
      </c>
      <c r="O43" s="135">
        <v>84087</v>
      </c>
      <c r="P43" s="134" t="s">
        <v>791</v>
      </c>
      <c r="Q43" s="134" t="s">
        <v>791</v>
      </c>
      <c r="R43" s="134" t="s">
        <v>791</v>
      </c>
      <c r="W43" s="134"/>
      <c r="Y43" s="134"/>
      <c r="AA43" s="134"/>
    </row>
    <row r="44" spans="1:27" ht="15.4">
      <c r="A44" s="134">
        <v>1991</v>
      </c>
      <c r="B44" s="426">
        <v>4198</v>
      </c>
      <c r="C44" s="135">
        <v>2070</v>
      </c>
      <c r="D44" s="135">
        <v>17433</v>
      </c>
      <c r="E44" s="135">
        <v>354679</v>
      </c>
      <c r="F44" s="135">
        <v>4618</v>
      </c>
      <c r="G44" s="135">
        <v>1094</v>
      </c>
      <c r="H44" s="135">
        <v>226718</v>
      </c>
      <c r="I44" s="135">
        <v>604542</v>
      </c>
      <c r="J44" s="134">
        <v>0</v>
      </c>
      <c r="K44" s="134" t="s">
        <v>791</v>
      </c>
      <c r="L44" s="134" t="s">
        <v>791</v>
      </c>
      <c r="M44" s="134" t="s">
        <v>791</v>
      </c>
      <c r="N44" s="134" t="s">
        <v>793</v>
      </c>
      <c r="O44" s="135">
        <v>84122</v>
      </c>
      <c r="P44" s="134" t="s">
        <v>791</v>
      </c>
      <c r="Q44" s="134" t="s">
        <v>791</v>
      </c>
      <c r="R44" s="134" t="s">
        <v>791</v>
      </c>
      <c r="W44" s="134"/>
      <c r="Y44" s="134"/>
      <c r="AA44" s="134"/>
    </row>
    <row r="45" spans="1:27" ht="15.4">
      <c r="A45" s="134">
        <v>1992</v>
      </c>
      <c r="B45" s="426">
        <v>4225</v>
      </c>
      <c r="C45" s="135">
        <v>2028</v>
      </c>
      <c r="D45" s="135">
        <v>17370</v>
      </c>
      <c r="E45" s="135">
        <v>371477</v>
      </c>
      <c r="F45" s="135">
        <v>4338</v>
      </c>
      <c r="G45" s="134">
        <v>813</v>
      </c>
      <c r="H45" s="135">
        <v>244024</v>
      </c>
      <c r="I45" s="135">
        <v>638022</v>
      </c>
      <c r="J45" s="134">
        <v>0</v>
      </c>
      <c r="K45" s="134" t="s">
        <v>791</v>
      </c>
      <c r="L45" s="134" t="s">
        <v>791</v>
      </c>
      <c r="M45" s="134" t="s">
        <v>791</v>
      </c>
      <c r="N45" s="134" t="s">
        <v>793</v>
      </c>
      <c r="O45" s="135">
        <v>85421</v>
      </c>
      <c r="P45" s="134" t="s">
        <v>791</v>
      </c>
      <c r="Q45" s="134" t="s">
        <v>791</v>
      </c>
      <c r="R45" s="134" t="s">
        <v>791</v>
      </c>
      <c r="W45" s="134"/>
      <c r="Y45" s="134"/>
      <c r="AA45" s="134"/>
    </row>
    <row r="46" spans="1:27" ht="15.4">
      <c r="A46" s="134">
        <v>1993</v>
      </c>
      <c r="B46" s="426">
        <v>4667</v>
      </c>
      <c r="C46" s="135">
        <v>2117</v>
      </c>
      <c r="D46" s="135">
        <v>18647</v>
      </c>
      <c r="E46" s="135">
        <v>361533</v>
      </c>
      <c r="F46" s="135">
        <v>3438</v>
      </c>
      <c r="G46" s="135">
        <v>2412</v>
      </c>
      <c r="H46" s="135">
        <v>238607</v>
      </c>
      <c r="I46" s="135">
        <v>624637</v>
      </c>
      <c r="J46" s="134">
        <v>0</v>
      </c>
      <c r="K46" s="134" t="s">
        <v>791</v>
      </c>
      <c r="L46" s="134" t="s">
        <v>791</v>
      </c>
      <c r="M46" s="134" t="s">
        <v>791</v>
      </c>
      <c r="N46" s="134" t="s">
        <v>793</v>
      </c>
      <c r="O46" s="135">
        <v>86933</v>
      </c>
      <c r="P46" s="134" t="s">
        <v>791</v>
      </c>
      <c r="Q46" s="134" t="s">
        <v>791</v>
      </c>
      <c r="R46" s="134" t="s">
        <v>791</v>
      </c>
      <c r="W46" s="134"/>
      <c r="Y46" s="134"/>
      <c r="AA46" s="134"/>
    </row>
    <row r="47" spans="1:27" ht="15.4">
      <c r="A47" s="134">
        <v>1994</v>
      </c>
      <c r="B47" s="426">
        <v>5350</v>
      </c>
      <c r="C47" s="135">
        <v>2069</v>
      </c>
      <c r="D47" s="135">
        <v>16599</v>
      </c>
      <c r="E47" s="135">
        <v>398466</v>
      </c>
      <c r="F47" s="135">
        <v>3750</v>
      </c>
      <c r="G47" s="135">
        <v>2388</v>
      </c>
      <c r="H47" s="135">
        <v>245836</v>
      </c>
      <c r="I47" s="135">
        <v>667040</v>
      </c>
      <c r="J47" s="134">
        <v>0</v>
      </c>
      <c r="K47" s="134" t="s">
        <v>791</v>
      </c>
      <c r="L47" s="134" t="s">
        <v>791</v>
      </c>
      <c r="M47" s="134" t="s">
        <v>791</v>
      </c>
      <c r="N47" s="134" t="s">
        <v>793</v>
      </c>
      <c r="O47" s="135">
        <v>90329</v>
      </c>
      <c r="P47" s="134" t="s">
        <v>791</v>
      </c>
      <c r="Q47" s="134" t="s">
        <v>791</v>
      </c>
      <c r="R47" s="134" t="s">
        <v>791</v>
      </c>
      <c r="W47" s="134"/>
      <c r="Y47" s="134"/>
      <c r="AA47" s="134"/>
    </row>
    <row r="48" spans="1:27" ht="15.4">
      <c r="A48" s="134">
        <v>1995</v>
      </c>
      <c r="B48" s="426">
        <v>4255</v>
      </c>
      <c r="C48" s="135">
        <v>2188</v>
      </c>
      <c r="D48" s="135">
        <v>19960</v>
      </c>
      <c r="E48" s="135">
        <v>410810</v>
      </c>
      <c r="F48" s="135">
        <v>3944</v>
      </c>
      <c r="G48" s="135">
        <v>2459</v>
      </c>
      <c r="H48" s="135">
        <v>235068</v>
      </c>
      <c r="I48" s="135">
        <v>672241</v>
      </c>
      <c r="J48" s="134">
        <v>0</v>
      </c>
      <c r="K48" s="134" t="s">
        <v>791</v>
      </c>
      <c r="L48" s="134" t="s">
        <v>791</v>
      </c>
      <c r="M48" s="134" t="s">
        <v>791</v>
      </c>
      <c r="N48" s="134" t="s">
        <v>793</v>
      </c>
      <c r="O48" s="135">
        <v>90093</v>
      </c>
      <c r="P48" s="134" t="s">
        <v>791</v>
      </c>
      <c r="Q48" s="134" t="s">
        <v>791</v>
      </c>
      <c r="R48" s="134" t="s">
        <v>791</v>
      </c>
      <c r="W48" s="134"/>
      <c r="Y48" s="134"/>
      <c r="AA48" s="134"/>
    </row>
    <row r="49" spans="1:27" ht="15.4">
      <c r="A49" s="134">
        <v>1996</v>
      </c>
      <c r="B49" s="426">
        <v>4808</v>
      </c>
      <c r="C49" s="135">
        <v>2442</v>
      </c>
      <c r="D49" s="135">
        <v>23185</v>
      </c>
      <c r="E49" s="135">
        <v>438965</v>
      </c>
      <c r="F49" s="135">
        <v>4040</v>
      </c>
      <c r="G49" s="135">
        <v>2092</v>
      </c>
      <c r="H49" s="135">
        <v>251149</v>
      </c>
      <c r="I49" s="135">
        <v>719431</v>
      </c>
      <c r="J49" s="134">
        <v>0</v>
      </c>
      <c r="K49" s="134" t="s">
        <v>791</v>
      </c>
      <c r="L49" s="134" t="s">
        <v>791</v>
      </c>
      <c r="M49" s="134" t="s">
        <v>791</v>
      </c>
      <c r="N49" s="134" t="s">
        <v>793</v>
      </c>
      <c r="O49" s="135">
        <v>95308</v>
      </c>
      <c r="P49" s="134" t="s">
        <v>791</v>
      </c>
      <c r="Q49" s="134" t="s">
        <v>791</v>
      </c>
      <c r="R49" s="134" t="s">
        <v>791</v>
      </c>
      <c r="W49" s="134"/>
      <c r="Y49" s="134"/>
      <c r="AA49" s="134"/>
    </row>
    <row r="50" spans="1:27" ht="15.4">
      <c r="A50" s="134">
        <v>1997</v>
      </c>
      <c r="B50" s="426">
        <v>4766</v>
      </c>
      <c r="C50" s="135">
        <v>2351</v>
      </c>
      <c r="D50" s="135">
        <v>21893</v>
      </c>
      <c r="E50" s="135">
        <v>488141</v>
      </c>
      <c r="F50" s="135">
        <v>4236</v>
      </c>
      <c r="G50" s="135">
        <v>1847</v>
      </c>
      <c r="H50" s="135">
        <v>277381</v>
      </c>
      <c r="I50" s="135">
        <v>793498</v>
      </c>
      <c r="J50" s="134">
        <v>0</v>
      </c>
      <c r="K50" s="134" t="s">
        <v>791</v>
      </c>
      <c r="L50" s="134" t="s">
        <v>791</v>
      </c>
      <c r="M50" s="134" t="s">
        <v>791</v>
      </c>
      <c r="N50" s="134" t="s">
        <v>793</v>
      </c>
      <c r="O50" s="135">
        <v>100429</v>
      </c>
      <c r="P50" s="134" t="s">
        <v>791</v>
      </c>
      <c r="Q50" s="134" t="s">
        <v>791</v>
      </c>
      <c r="R50" s="134" t="s">
        <v>791</v>
      </c>
      <c r="W50" s="134"/>
      <c r="Y50" s="134"/>
      <c r="AA50" s="134"/>
    </row>
    <row r="51" spans="1:27" ht="15.4">
      <c r="A51" s="134">
        <v>1998</v>
      </c>
      <c r="B51" s="426">
        <v>4422</v>
      </c>
      <c r="C51" s="135">
        <v>2329</v>
      </c>
      <c r="D51" s="135">
        <v>23835</v>
      </c>
      <c r="E51" s="135">
        <v>480368</v>
      </c>
      <c r="F51" s="135">
        <v>4961</v>
      </c>
      <c r="G51" s="134">
        <v>856</v>
      </c>
      <c r="H51" s="135">
        <v>269498</v>
      </c>
      <c r="I51" s="135">
        <v>779517</v>
      </c>
      <c r="J51" s="134">
        <v>0</v>
      </c>
      <c r="K51" s="134" t="s">
        <v>791</v>
      </c>
      <c r="L51" s="134" t="s">
        <v>791</v>
      </c>
      <c r="M51" s="134" t="s">
        <v>791</v>
      </c>
      <c r="N51" s="134" t="s">
        <v>793</v>
      </c>
      <c r="O51" s="135">
        <v>102702</v>
      </c>
      <c r="P51" s="134" t="s">
        <v>791</v>
      </c>
      <c r="Q51" s="134" t="s">
        <v>791</v>
      </c>
      <c r="R51" s="134" t="s">
        <v>791</v>
      </c>
      <c r="W51" s="134"/>
      <c r="Y51" s="134"/>
      <c r="AA51" s="134"/>
    </row>
    <row r="52" spans="1:27" ht="15.4">
      <c r="A52" s="134">
        <v>1999</v>
      </c>
      <c r="B52" s="426">
        <v>4397</v>
      </c>
      <c r="C52" s="135">
        <v>2146</v>
      </c>
      <c r="D52" s="135">
        <v>21472</v>
      </c>
      <c r="E52" s="135">
        <v>483872</v>
      </c>
      <c r="F52" s="135">
        <v>2501</v>
      </c>
      <c r="G52" s="134">
        <v>635</v>
      </c>
      <c r="H52" s="135">
        <v>253955</v>
      </c>
      <c r="I52" s="135">
        <v>762435</v>
      </c>
      <c r="J52" s="134">
        <v>0</v>
      </c>
      <c r="K52" s="134" t="s">
        <v>791</v>
      </c>
      <c r="L52" s="134" t="s">
        <v>791</v>
      </c>
      <c r="M52" s="134" t="s">
        <v>791</v>
      </c>
      <c r="N52" s="134" t="s">
        <v>793</v>
      </c>
      <c r="O52" s="135">
        <v>99741</v>
      </c>
      <c r="P52" s="134" t="s">
        <v>791</v>
      </c>
      <c r="Q52" s="134" t="s">
        <v>791</v>
      </c>
      <c r="R52" s="134" t="s">
        <v>791</v>
      </c>
      <c r="W52" s="134"/>
      <c r="Y52" s="134"/>
      <c r="AA52" s="134"/>
    </row>
    <row r="53" spans="1:27" ht="15.4">
      <c r="A53" s="134">
        <v>2000</v>
      </c>
      <c r="B53" s="426">
        <v>4490</v>
      </c>
      <c r="C53" s="135">
        <v>2397</v>
      </c>
      <c r="D53" s="135">
        <v>21192</v>
      </c>
      <c r="E53" s="135">
        <v>444667</v>
      </c>
      <c r="F53" s="135">
        <v>2576</v>
      </c>
      <c r="G53" s="134">
        <v>401</v>
      </c>
      <c r="H53" s="135">
        <v>250873</v>
      </c>
      <c r="I53" s="135">
        <v>719710</v>
      </c>
      <c r="J53" s="134">
        <v>0</v>
      </c>
      <c r="K53" s="134" t="s">
        <v>791</v>
      </c>
      <c r="L53" s="134" t="s">
        <v>791</v>
      </c>
      <c r="M53" s="134" t="s">
        <v>791</v>
      </c>
      <c r="N53" s="134" t="s">
        <v>793</v>
      </c>
      <c r="O53" s="135">
        <v>101588</v>
      </c>
      <c r="P53" s="134" t="s">
        <v>791</v>
      </c>
      <c r="Q53" s="134" t="s">
        <v>791</v>
      </c>
      <c r="R53" s="134" t="s">
        <v>791</v>
      </c>
      <c r="W53" s="134"/>
      <c r="Y53" s="134"/>
      <c r="AA53" s="134"/>
    </row>
    <row r="54" spans="1:27" ht="15.4">
      <c r="A54" s="134">
        <v>2001</v>
      </c>
      <c r="B54" s="426">
        <v>4439</v>
      </c>
      <c r="C54" s="135">
        <v>2316</v>
      </c>
      <c r="D54" s="135">
        <v>20895</v>
      </c>
      <c r="E54" s="135">
        <v>418137</v>
      </c>
      <c r="F54" s="135">
        <v>4632</v>
      </c>
      <c r="G54" s="134">
        <v>519</v>
      </c>
      <c r="H54" s="135">
        <v>248577</v>
      </c>
      <c r="I54" s="135">
        <v>692761</v>
      </c>
      <c r="J54" s="134">
        <v>0</v>
      </c>
      <c r="K54" s="134" t="s">
        <v>791</v>
      </c>
      <c r="L54" s="134" t="s">
        <v>791</v>
      </c>
      <c r="M54" s="134" t="s">
        <v>791</v>
      </c>
      <c r="N54" s="134" t="s">
        <v>793</v>
      </c>
      <c r="O54" s="135">
        <v>98208</v>
      </c>
      <c r="P54" s="134" t="s">
        <v>791</v>
      </c>
      <c r="Q54" s="134" t="s">
        <v>791</v>
      </c>
      <c r="R54" s="134" t="s">
        <v>791</v>
      </c>
      <c r="W54" s="134"/>
      <c r="Y54" s="134"/>
      <c r="AA54" s="134"/>
    </row>
    <row r="55" spans="1:27" ht="15.4">
      <c r="A55" s="134">
        <v>2002</v>
      </c>
      <c r="B55" s="426">
        <v>4047</v>
      </c>
      <c r="C55" s="135">
        <v>2246</v>
      </c>
      <c r="D55" s="135">
        <v>19710</v>
      </c>
      <c r="E55" s="135">
        <v>443752</v>
      </c>
      <c r="F55" s="135">
        <v>5005</v>
      </c>
      <c r="G55" s="134">
        <v>796</v>
      </c>
      <c r="H55" s="135">
        <v>253682</v>
      </c>
      <c r="I55" s="135">
        <v>722946</v>
      </c>
      <c r="J55" s="134">
        <v>0</v>
      </c>
      <c r="K55" s="134" t="s">
        <v>791</v>
      </c>
      <c r="L55" s="134" t="s">
        <v>791</v>
      </c>
      <c r="M55" s="134" t="s">
        <v>791</v>
      </c>
      <c r="N55" s="134" t="s">
        <v>793</v>
      </c>
      <c r="O55" s="135">
        <v>102251</v>
      </c>
      <c r="P55" s="134" t="s">
        <v>791</v>
      </c>
      <c r="Q55" s="134" t="s">
        <v>791</v>
      </c>
      <c r="R55" s="134" t="s">
        <v>791</v>
      </c>
      <c r="W55" s="134"/>
      <c r="Y55" s="134"/>
      <c r="AA55" s="134"/>
    </row>
    <row r="56" spans="1:27" ht="15.4">
      <c r="A56" s="134">
        <v>2003</v>
      </c>
      <c r="B56" s="426">
        <v>4132</v>
      </c>
      <c r="C56" s="135">
        <v>2134</v>
      </c>
      <c r="D56" s="135">
        <v>19587</v>
      </c>
      <c r="E56" s="135">
        <v>452845</v>
      </c>
      <c r="F56" s="135">
        <v>5244</v>
      </c>
      <c r="G56" s="135">
        <v>1408</v>
      </c>
      <c r="H56" s="135">
        <v>266532</v>
      </c>
      <c r="I56" s="135">
        <v>745616</v>
      </c>
      <c r="J56" s="134">
        <v>0</v>
      </c>
      <c r="K56" s="134" t="s">
        <v>791</v>
      </c>
      <c r="L56" s="134" t="s">
        <v>791</v>
      </c>
      <c r="M56" s="134" t="s">
        <v>791</v>
      </c>
      <c r="N56" s="134" t="s">
        <v>793</v>
      </c>
      <c r="O56" s="135">
        <v>104547</v>
      </c>
      <c r="P56" s="134" t="s">
        <v>791</v>
      </c>
      <c r="Q56" s="134" t="s">
        <v>791</v>
      </c>
      <c r="R56" s="134" t="s">
        <v>791</v>
      </c>
      <c r="W56" s="134"/>
      <c r="Y56" s="134"/>
      <c r="AA56" s="134"/>
    </row>
    <row r="57" spans="1:27" ht="15.4">
      <c r="A57" s="134">
        <v>2004</v>
      </c>
      <c r="B57" s="426">
        <v>4148</v>
      </c>
      <c r="C57" s="135">
        <v>2093</v>
      </c>
      <c r="D57" s="135">
        <v>16873</v>
      </c>
      <c r="E57" s="135">
        <v>476031</v>
      </c>
      <c r="F57" s="135">
        <v>6023</v>
      </c>
      <c r="G57" s="135">
        <v>1077</v>
      </c>
      <c r="H57" s="135">
        <v>288168</v>
      </c>
      <c r="I57" s="135">
        <v>788171</v>
      </c>
      <c r="J57" s="134">
        <v>0</v>
      </c>
      <c r="K57" s="134" t="s">
        <v>791</v>
      </c>
      <c r="L57" s="134" t="s">
        <v>791</v>
      </c>
      <c r="M57" s="134" t="s">
        <v>791</v>
      </c>
      <c r="N57" s="134" t="s">
        <v>793</v>
      </c>
      <c r="O57" s="135">
        <v>100588</v>
      </c>
      <c r="P57" s="134" t="s">
        <v>791</v>
      </c>
      <c r="Q57" s="134" t="s">
        <v>791</v>
      </c>
      <c r="R57" s="134" t="s">
        <v>791</v>
      </c>
      <c r="W57" s="134"/>
      <c r="Y57" s="134"/>
      <c r="AA57" s="134"/>
    </row>
    <row r="58" spans="1:27" ht="15.4">
      <c r="A58" s="134">
        <v>2005</v>
      </c>
      <c r="B58" s="426">
        <v>4082</v>
      </c>
      <c r="C58" s="135">
        <v>1628</v>
      </c>
      <c r="D58" s="135">
        <v>20031</v>
      </c>
      <c r="E58" s="135">
        <v>436864</v>
      </c>
      <c r="F58" s="135">
        <v>5766</v>
      </c>
      <c r="G58" s="135">
        <v>3537</v>
      </c>
      <c r="H58" s="135">
        <v>273886</v>
      </c>
      <c r="I58" s="135">
        <v>740083</v>
      </c>
      <c r="J58" s="134">
        <v>0</v>
      </c>
      <c r="K58" s="134" t="s">
        <v>791</v>
      </c>
      <c r="L58" s="134" t="s">
        <v>791</v>
      </c>
      <c r="M58" s="134" t="s">
        <v>791</v>
      </c>
      <c r="N58" s="134" t="s">
        <v>793</v>
      </c>
      <c r="O58" s="135">
        <v>96841</v>
      </c>
      <c r="P58" s="134" t="s">
        <v>791</v>
      </c>
      <c r="Q58" s="134" t="s">
        <v>791</v>
      </c>
      <c r="R58" s="134" t="s">
        <v>791</v>
      </c>
      <c r="W58" s="134"/>
      <c r="Y58" s="134"/>
      <c r="AA58" s="134"/>
    </row>
    <row r="59" spans="1:27" ht="15.4">
      <c r="A59" s="134">
        <v>2006</v>
      </c>
      <c r="B59" s="426">
        <v>4102</v>
      </c>
      <c r="C59" s="135">
        <v>1591</v>
      </c>
      <c r="D59" s="135">
        <v>20274</v>
      </c>
      <c r="E59" s="135">
        <v>437961</v>
      </c>
      <c r="F59" s="135">
        <v>6096</v>
      </c>
      <c r="G59" s="135">
        <v>3923</v>
      </c>
      <c r="H59" s="135">
        <v>277372</v>
      </c>
      <c r="I59" s="135">
        <v>745627</v>
      </c>
      <c r="J59" s="134">
        <v>0</v>
      </c>
      <c r="K59" s="134" t="s">
        <v>791</v>
      </c>
      <c r="L59" s="134" t="s">
        <v>791</v>
      </c>
      <c r="M59" s="134" t="s">
        <v>791</v>
      </c>
      <c r="N59" s="134">
        <v>0</v>
      </c>
      <c r="O59" s="135">
        <v>104689</v>
      </c>
      <c r="P59" s="134" t="s">
        <v>791</v>
      </c>
      <c r="Q59" s="134" t="s">
        <v>791</v>
      </c>
      <c r="R59" s="134" t="s">
        <v>791</v>
      </c>
      <c r="W59" s="134"/>
      <c r="Y59" s="134"/>
      <c r="AA59" s="134"/>
    </row>
    <row r="60" spans="1:27" ht="15.4">
      <c r="A60" s="134">
        <v>2007</v>
      </c>
      <c r="B60" s="426">
        <v>1868</v>
      </c>
      <c r="C60" s="135">
        <v>1612</v>
      </c>
      <c r="D60" s="135">
        <v>22582</v>
      </c>
      <c r="E60" s="135">
        <v>457680</v>
      </c>
      <c r="F60" s="135">
        <v>4580</v>
      </c>
      <c r="G60" s="135">
        <v>3121</v>
      </c>
      <c r="H60" s="135">
        <v>236494</v>
      </c>
      <c r="I60" s="135">
        <v>724457</v>
      </c>
      <c r="J60" s="134">
        <v>0</v>
      </c>
      <c r="K60" s="134" t="s">
        <v>791</v>
      </c>
      <c r="L60" s="134" t="s">
        <v>791</v>
      </c>
      <c r="M60" s="134" t="s">
        <v>791</v>
      </c>
      <c r="N60" s="134">
        <v>0</v>
      </c>
      <c r="O60" s="135">
        <v>108300</v>
      </c>
      <c r="P60" s="134" t="s">
        <v>791</v>
      </c>
      <c r="Q60" s="134" t="s">
        <v>791</v>
      </c>
      <c r="R60" s="134" t="s">
        <v>791</v>
      </c>
      <c r="W60" s="134"/>
      <c r="Y60" s="134"/>
      <c r="AA60" s="134"/>
    </row>
    <row r="61" spans="1:27" ht="15.4">
      <c r="A61" s="134">
        <v>2008</v>
      </c>
      <c r="B61" s="426">
        <v>1806</v>
      </c>
      <c r="C61" s="135">
        <v>1653</v>
      </c>
      <c r="D61" s="135">
        <v>26483</v>
      </c>
      <c r="E61" s="135">
        <v>361353</v>
      </c>
      <c r="F61" s="135">
        <v>3867</v>
      </c>
      <c r="G61" s="135">
        <v>3620</v>
      </c>
      <c r="H61" s="135">
        <v>194458</v>
      </c>
      <c r="I61" s="135">
        <v>589782</v>
      </c>
      <c r="J61" s="134">
        <v>0</v>
      </c>
      <c r="K61" s="134" t="s">
        <v>791</v>
      </c>
      <c r="L61" s="134" t="s">
        <v>791</v>
      </c>
      <c r="M61" s="134" t="s">
        <v>791</v>
      </c>
      <c r="N61" s="134">
        <v>0</v>
      </c>
      <c r="O61" s="135">
        <v>105868</v>
      </c>
      <c r="P61" s="134" t="s">
        <v>791</v>
      </c>
      <c r="Q61" s="134" t="s">
        <v>791</v>
      </c>
      <c r="R61" s="134" t="s">
        <v>791</v>
      </c>
      <c r="W61" s="134"/>
      <c r="Y61" s="134"/>
      <c r="AA61" s="134"/>
    </row>
    <row r="62" spans="1:27" ht="15.4">
      <c r="A62" s="134">
        <v>2009</v>
      </c>
      <c r="B62" s="427">
        <v>833</v>
      </c>
      <c r="C62" s="135">
        <v>1537</v>
      </c>
      <c r="D62" s="135">
        <v>19793</v>
      </c>
      <c r="E62" s="135">
        <v>375233</v>
      </c>
      <c r="F62" s="135">
        <v>3802</v>
      </c>
      <c r="G62" s="135">
        <v>3408</v>
      </c>
      <c r="H62" s="135">
        <v>186878</v>
      </c>
      <c r="I62" s="135">
        <v>589113</v>
      </c>
      <c r="J62" s="134">
        <v>0</v>
      </c>
      <c r="K62" s="134" t="s">
        <v>791</v>
      </c>
      <c r="L62" s="134" t="s">
        <v>791</v>
      </c>
      <c r="M62" s="134" t="s">
        <v>791</v>
      </c>
      <c r="N62" s="134">
        <v>0</v>
      </c>
      <c r="O62" s="135">
        <v>96931</v>
      </c>
      <c r="P62" s="134" t="s">
        <v>791</v>
      </c>
      <c r="Q62" s="134" t="s">
        <v>791</v>
      </c>
      <c r="R62" s="134" t="s">
        <v>791</v>
      </c>
      <c r="W62" s="134"/>
      <c r="Y62" s="134"/>
      <c r="AA62" s="134"/>
    </row>
    <row r="63" spans="1:27" ht="15.4">
      <c r="A63" s="134">
        <v>2010</v>
      </c>
      <c r="B63" s="427">
        <v>952</v>
      </c>
      <c r="C63" s="135">
        <v>1743</v>
      </c>
      <c r="D63" s="135">
        <v>22336</v>
      </c>
      <c r="E63" s="136">
        <v>443546</v>
      </c>
      <c r="F63" s="135">
        <v>5750</v>
      </c>
      <c r="G63" s="135">
        <v>3280</v>
      </c>
      <c r="H63" s="136">
        <v>200063</v>
      </c>
      <c r="I63" s="136">
        <v>674977</v>
      </c>
      <c r="J63" s="134">
        <v>0</v>
      </c>
      <c r="K63" s="134" t="s">
        <v>791</v>
      </c>
      <c r="L63" s="134" t="s">
        <v>791</v>
      </c>
      <c r="M63" s="134" t="s">
        <v>791</v>
      </c>
      <c r="N63" s="134">
        <v>0</v>
      </c>
      <c r="O63" s="135">
        <v>99754</v>
      </c>
      <c r="P63" s="134" t="s">
        <v>791</v>
      </c>
      <c r="Q63" s="134" t="s">
        <v>791</v>
      </c>
      <c r="R63" s="134" t="s">
        <v>791</v>
      </c>
      <c r="W63" s="134"/>
      <c r="Y63" s="134"/>
      <c r="AA63" s="134"/>
    </row>
    <row r="64" spans="1:27" ht="15.4">
      <c r="A64" s="134">
        <v>2011</v>
      </c>
      <c r="B64" s="427">
        <v>956</v>
      </c>
      <c r="C64" s="135">
        <v>1781</v>
      </c>
      <c r="D64" s="135">
        <v>30405</v>
      </c>
      <c r="E64" s="136">
        <v>436305</v>
      </c>
      <c r="F64" s="135">
        <v>6035</v>
      </c>
      <c r="G64" s="135">
        <v>4548</v>
      </c>
      <c r="H64" s="136">
        <v>199285</v>
      </c>
      <c r="I64" s="136">
        <v>676577</v>
      </c>
      <c r="J64" s="134">
        <v>0</v>
      </c>
      <c r="K64" s="134" t="s">
        <v>791</v>
      </c>
      <c r="L64" s="134" t="s">
        <v>791</v>
      </c>
      <c r="M64" s="134" t="s">
        <v>791</v>
      </c>
      <c r="N64" s="134">
        <v>0</v>
      </c>
      <c r="O64" s="135">
        <v>102129</v>
      </c>
      <c r="P64" s="134" t="s">
        <v>791</v>
      </c>
      <c r="Q64" s="134" t="s">
        <v>791</v>
      </c>
      <c r="R64" s="134" t="s">
        <v>791</v>
      </c>
      <c r="W64" s="134"/>
      <c r="Y64" s="134"/>
      <c r="AA64" s="134"/>
    </row>
    <row r="65" spans="1:27" ht="15.4">
      <c r="A65" s="134">
        <v>2012</v>
      </c>
      <c r="B65" s="427">
        <v>947</v>
      </c>
      <c r="C65" s="135">
        <v>1875</v>
      </c>
      <c r="D65" s="135">
        <v>34173</v>
      </c>
      <c r="E65" s="136">
        <v>475986</v>
      </c>
      <c r="F65" s="135">
        <v>5600</v>
      </c>
      <c r="G65" s="135">
        <v>2162</v>
      </c>
      <c r="H65" s="136">
        <v>201377</v>
      </c>
      <c r="I65" s="136">
        <v>719298</v>
      </c>
      <c r="J65" s="134">
        <v>0</v>
      </c>
      <c r="K65" s="134" t="s">
        <v>791</v>
      </c>
      <c r="L65" s="134" t="s">
        <v>791</v>
      </c>
      <c r="M65" s="134" t="s">
        <v>791</v>
      </c>
      <c r="N65" s="134">
        <v>0</v>
      </c>
      <c r="O65" s="135">
        <v>94517</v>
      </c>
      <c r="P65" s="134" t="s">
        <v>791</v>
      </c>
      <c r="Q65" s="134" t="s">
        <v>791</v>
      </c>
      <c r="R65" s="134" t="s">
        <v>791</v>
      </c>
      <c r="W65" s="134"/>
      <c r="Y65" s="134"/>
      <c r="AA65" s="134"/>
    </row>
    <row r="66" spans="1:27" ht="15.4">
      <c r="A66" s="134">
        <v>2013</v>
      </c>
      <c r="B66" s="426">
        <v>1002</v>
      </c>
      <c r="C66" s="135">
        <v>1934</v>
      </c>
      <c r="D66" s="135">
        <v>32751</v>
      </c>
      <c r="E66" s="136">
        <v>516154</v>
      </c>
      <c r="F66" s="135">
        <v>6098</v>
      </c>
      <c r="G66" s="135">
        <v>1626</v>
      </c>
      <c r="H66" s="136">
        <v>215984</v>
      </c>
      <c r="I66" s="136">
        <v>772612</v>
      </c>
      <c r="J66" s="134">
        <v>0</v>
      </c>
      <c r="K66" s="134" t="s">
        <v>791</v>
      </c>
      <c r="L66" s="134" t="s">
        <v>791</v>
      </c>
      <c r="M66" s="134" t="s">
        <v>791</v>
      </c>
      <c r="N66" s="134">
        <v>0</v>
      </c>
      <c r="O66" s="135">
        <v>101968</v>
      </c>
      <c r="P66" s="134" t="s">
        <v>791</v>
      </c>
      <c r="Q66" s="134" t="s">
        <v>791</v>
      </c>
      <c r="R66" s="134" t="s">
        <v>791</v>
      </c>
      <c r="W66" s="134"/>
      <c r="Y66" s="134"/>
      <c r="AA66" s="134"/>
    </row>
    <row r="67" spans="1:27" ht="15.4">
      <c r="A67" s="134">
        <v>2014</v>
      </c>
      <c r="B67" s="426">
        <v>1296</v>
      </c>
      <c r="C67" s="135">
        <v>1988</v>
      </c>
      <c r="D67" s="135">
        <v>39585</v>
      </c>
      <c r="E67" s="136">
        <v>483345</v>
      </c>
      <c r="F67" s="135">
        <v>4489</v>
      </c>
      <c r="G67" s="135">
        <v>1860</v>
      </c>
      <c r="H67" s="136">
        <v>197515</v>
      </c>
      <c r="I67" s="136">
        <v>726793</v>
      </c>
      <c r="J67" s="134">
        <v>0</v>
      </c>
      <c r="K67" s="134" t="s">
        <v>791</v>
      </c>
      <c r="L67" s="134" t="s">
        <v>791</v>
      </c>
      <c r="M67" s="134" t="s">
        <v>791</v>
      </c>
      <c r="N67" s="134">
        <v>0</v>
      </c>
      <c r="O67" s="135">
        <v>109165</v>
      </c>
      <c r="P67" s="134" t="s">
        <v>791</v>
      </c>
      <c r="Q67" s="134" t="s">
        <v>791</v>
      </c>
      <c r="R67" s="134" t="s">
        <v>791</v>
      </c>
      <c r="W67" s="134"/>
      <c r="Y67" s="134"/>
      <c r="AA67" s="134"/>
    </row>
    <row r="68" spans="1:27" ht="15.4">
      <c r="A68" s="134">
        <v>2015</v>
      </c>
      <c r="B68" s="427">
        <v>951</v>
      </c>
      <c r="C68" s="135">
        <v>2023</v>
      </c>
      <c r="D68" s="135">
        <v>27448</v>
      </c>
      <c r="E68" s="136">
        <v>535305</v>
      </c>
      <c r="F68" s="135">
        <v>3682</v>
      </c>
      <c r="G68" s="135">
        <v>1242</v>
      </c>
      <c r="H68" s="136">
        <v>199276</v>
      </c>
      <c r="I68" s="136">
        <v>766953</v>
      </c>
      <c r="J68" s="134">
        <v>0</v>
      </c>
      <c r="K68" s="134" t="s">
        <v>791</v>
      </c>
      <c r="L68" s="134" t="s">
        <v>791</v>
      </c>
      <c r="M68" s="134" t="s">
        <v>791</v>
      </c>
      <c r="N68" s="134">
        <v>0</v>
      </c>
      <c r="O68" s="135">
        <v>110182</v>
      </c>
      <c r="P68" s="134" t="s">
        <v>791</v>
      </c>
      <c r="Q68" s="134" t="s">
        <v>791</v>
      </c>
      <c r="R68" s="134" t="s">
        <v>791</v>
      </c>
      <c r="W68" s="134"/>
      <c r="Y68" s="134"/>
      <c r="AA68" s="134"/>
    </row>
    <row r="69" spans="1:27" ht="15.4">
      <c r="A69" s="134">
        <v>2016</v>
      </c>
      <c r="B69" s="427">
        <v>673</v>
      </c>
      <c r="C69" s="136">
        <v>2067</v>
      </c>
      <c r="D69" s="135">
        <v>29924</v>
      </c>
      <c r="E69" s="136">
        <v>540425</v>
      </c>
      <c r="F69" s="135">
        <v>3663</v>
      </c>
      <c r="G69" s="135">
        <v>2008</v>
      </c>
      <c r="H69" s="136">
        <v>204088</v>
      </c>
      <c r="I69" s="136">
        <v>780107</v>
      </c>
      <c r="J69" s="134">
        <v>0</v>
      </c>
      <c r="K69" s="134" t="s">
        <v>791</v>
      </c>
      <c r="L69" s="134" t="s">
        <v>791</v>
      </c>
      <c r="M69" s="134" t="s">
        <v>791</v>
      </c>
      <c r="N69" s="134">
        <v>0</v>
      </c>
      <c r="O69" s="135">
        <v>113403</v>
      </c>
      <c r="P69" s="134" t="s">
        <v>791</v>
      </c>
      <c r="Q69" s="134" t="s">
        <v>791</v>
      </c>
      <c r="R69" s="134" t="s">
        <v>791</v>
      </c>
      <c r="W69" s="134"/>
      <c r="Y69" s="134"/>
      <c r="AA69" s="134"/>
    </row>
    <row r="70" spans="1:27" ht="15.4">
      <c r="A70" s="134">
        <v>2017</v>
      </c>
      <c r="B70" s="427">
        <v>630</v>
      </c>
      <c r="C70" s="135">
        <v>2094</v>
      </c>
      <c r="D70" s="135">
        <v>30594</v>
      </c>
      <c r="E70" s="135">
        <v>567918</v>
      </c>
      <c r="F70" s="135">
        <v>3703</v>
      </c>
      <c r="G70" s="135">
        <v>2516</v>
      </c>
      <c r="H70" s="135">
        <v>206623</v>
      </c>
      <c r="I70" s="135">
        <v>811353</v>
      </c>
      <c r="J70" s="134">
        <v>0</v>
      </c>
      <c r="K70" s="134" t="s">
        <v>791</v>
      </c>
      <c r="L70" s="134" t="s">
        <v>791</v>
      </c>
      <c r="M70" s="134" t="s">
        <v>791</v>
      </c>
      <c r="N70" s="134" t="s">
        <v>793</v>
      </c>
      <c r="O70" s="135">
        <v>119970</v>
      </c>
      <c r="P70" s="134" t="s">
        <v>791</v>
      </c>
      <c r="Q70" s="134" t="s">
        <v>791</v>
      </c>
      <c r="R70" s="134" t="s">
        <v>791</v>
      </c>
      <c r="W70" s="134"/>
      <c r="Y70" s="134"/>
    </row>
    <row r="71" spans="1:27">
      <c r="A71" s="485" t="s">
        <v>794</v>
      </c>
      <c r="B71" s="485"/>
      <c r="C71" s="485"/>
      <c r="D71" s="485"/>
      <c r="E71" s="485"/>
      <c r="F71" s="485"/>
      <c r="G71" s="485"/>
      <c r="H71" s="485"/>
      <c r="I71" s="485"/>
      <c r="J71" s="485"/>
      <c r="K71" s="485"/>
      <c r="L71" s="485"/>
      <c r="M71" s="485"/>
      <c r="N71" s="485"/>
      <c r="O71" s="485"/>
      <c r="P71" s="485"/>
      <c r="Q71" s="485"/>
      <c r="R71" s="485"/>
    </row>
    <row r="72" spans="1:27">
      <c r="A72" s="485"/>
      <c r="B72" s="485"/>
      <c r="C72" s="485"/>
      <c r="D72" s="485"/>
      <c r="E72" s="485"/>
      <c r="F72" s="485"/>
      <c r="G72" s="485"/>
      <c r="H72" s="485"/>
      <c r="I72" s="485"/>
      <c r="J72" s="485"/>
      <c r="K72" s="485"/>
      <c r="L72" s="485"/>
      <c r="M72" s="485"/>
      <c r="N72" s="485"/>
      <c r="O72" s="485"/>
      <c r="P72" s="485"/>
      <c r="Q72" s="485"/>
      <c r="R72" s="485"/>
    </row>
    <row r="73" spans="1:27" ht="27.75">
      <c r="A73" s="133" t="s">
        <v>795</v>
      </c>
      <c r="B73" s="425" t="s">
        <v>796</v>
      </c>
      <c r="C73" s="133" t="s">
        <v>797</v>
      </c>
      <c r="D73" s="133" t="s">
        <v>798</v>
      </c>
      <c r="E73" s="133" t="s">
        <v>781</v>
      </c>
      <c r="F73" s="133" t="s">
        <v>782</v>
      </c>
      <c r="G73" s="133" t="s">
        <v>799</v>
      </c>
      <c r="H73" s="133" t="s">
        <v>800</v>
      </c>
      <c r="I73" s="133" t="s">
        <v>801</v>
      </c>
      <c r="J73" s="133" t="s">
        <v>802</v>
      </c>
      <c r="K73" s="137" t="s">
        <v>803</v>
      </c>
      <c r="L73" s="137" t="s">
        <v>804</v>
      </c>
      <c r="M73" s="137" t="s">
        <v>805</v>
      </c>
      <c r="N73" s="137" t="s">
        <v>806</v>
      </c>
      <c r="O73" s="137" t="s">
        <v>807</v>
      </c>
      <c r="P73" s="137" t="s">
        <v>893</v>
      </c>
      <c r="Q73" s="137" t="s">
        <v>808</v>
      </c>
      <c r="R73" s="137" t="s">
        <v>557</v>
      </c>
    </row>
    <row r="74" spans="1:27" ht="15.4">
      <c r="A74" s="134">
        <v>1960</v>
      </c>
      <c r="B74" s="427">
        <v>24.4</v>
      </c>
      <c r="C74" s="138">
        <v>2100.3000000000002</v>
      </c>
      <c r="D74" s="134">
        <v>58.9</v>
      </c>
      <c r="E74" s="139">
        <v>224.8</v>
      </c>
      <c r="F74" s="134">
        <v>19.899999999999999</v>
      </c>
      <c r="G74" s="134">
        <v>29</v>
      </c>
      <c r="H74" s="134">
        <v>401.8</v>
      </c>
      <c r="I74" s="139">
        <v>734.5</v>
      </c>
      <c r="J74" s="134">
        <v>0</v>
      </c>
      <c r="K74" s="134">
        <v>23.9</v>
      </c>
      <c r="L74" s="134" t="s">
        <v>792</v>
      </c>
      <c r="M74" s="134" t="s">
        <v>792</v>
      </c>
      <c r="N74" s="134" t="s">
        <v>792</v>
      </c>
      <c r="O74" s="134">
        <v>49.8</v>
      </c>
      <c r="P74" s="140">
        <v>2933</v>
      </c>
      <c r="Q74" s="134">
        <v>123.2</v>
      </c>
      <c r="R74" s="140">
        <v>3056.2</v>
      </c>
      <c r="T74" s="5">
        <f>SUM(B74:H74,J74:N74,O74)</f>
        <v>2932.8000000000011</v>
      </c>
      <c r="U74" s="24">
        <f>P74-T74</f>
        <v>0.19999999999890861</v>
      </c>
      <c r="W74" s="134"/>
      <c r="Y74" s="134"/>
      <c r="AA74" s="134"/>
    </row>
    <row r="75" spans="1:27" ht="15.4">
      <c r="A75" s="134">
        <v>1961</v>
      </c>
      <c r="B75" s="427">
        <v>18</v>
      </c>
      <c r="C75" s="138">
        <v>2095.6999999999998</v>
      </c>
      <c r="D75" s="134">
        <v>45</v>
      </c>
      <c r="E75" s="139">
        <v>234.1</v>
      </c>
      <c r="F75" s="134">
        <v>17.899999999999999</v>
      </c>
      <c r="G75" s="134">
        <v>37.799999999999997</v>
      </c>
      <c r="H75" s="134">
        <v>416.9</v>
      </c>
      <c r="I75" s="139">
        <v>751.7</v>
      </c>
      <c r="J75" s="134">
        <v>0</v>
      </c>
      <c r="K75" s="134">
        <v>25.5</v>
      </c>
      <c r="L75" s="134" t="s">
        <v>792</v>
      </c>
      <c r="M75" s="134" t="s">
        <v>792</v>
      </c>
      <c r="N75" s="134" t="s">
        <v>792</v>
      </c>
      <c r="O75" s="134">
        <v>52.1</v>
      </c>
      <c r="P75" s="140">
        <v>2943</v>
      </c>
      <c r="Q75" s="134">
        <v>126.7</v>
      </c>
      <c r="R75" s="140">
        <v>3069.7</v>
      </c>
      <c r="T75" s="5">
        <f t="shared" ref="T75:T131" si="0">SUM(B75:H75,J75:N75,O75)</f>
        <v>2943</v>
      </c>
      <c r="U75" s="24">
        <f t="shared" ref="U75:U131" si="1">P75-T75</f>
        <v>0</v>
      </c>
      <c r="W75" s="134"/>
      <c r="Y75" s="134"/>
      <c r="AA75" s="134"/>
    </row>
    <row r="76" spans="1:27" ht="15.4">
      <c r="A76" s="134">
        <v>1962</v>
      </c>
      <c r="B76" s="427">
        <v>20.399999999999999</v>
      </c>
      <c r="C76" s="138">
        <v>2113.3000000000002</v>
      </c>
      <c r="D76" s="134">
        <v>54.4</v>
      </c>
      <c r="E76" s="139">
        <v>256.10000000000002</v>
      </c>
      <c r="F76" s="134">
        <v>16.399999999999999</v>
      </c>
      <c r="G76" s="134">
        <v>35.299999999999997</v>
      </c>
      <c r="H76" s="134">
        <v>442.5</v>
      </c>
      <c r="I76" s="139">
        <v>804.7</v>
      </c>
      <c r="J76" s="134">
        <v>0</v>
      </c>
      <c r="K76" s="134">
        <v>26.9</v>
      </c>
      <c r="L76" s="134" t="s">
        <v>792</v>
      </c>
      <c r="M76" s="134" t="s">
        <v>792</v>
      </c>
      <c r="N76" s="134" t="s">
        <v>792</v>
      </c>
      <c r="O76" s="134">
        <v>58.8</v>
      </c>
      <c r="P76" s="140">
        <v>3024</v>
      </c>
      <c r="Q76" s="134">
        <v>141.1</v>
      </c>
      <c r="R76" s="140">
        <v>3165.1</v>
      </c>
      <c r="T76" s="5">
        <f t="shared" si="0"/>
        <v>3024.1000000000008</v>
      </c>
      <c r="U76" s="24">
        <f t="shared" si="1"/>
        <v>-0.10000000000081855</v>
      </c>
      <c r="W76" s="134"/>
      <c r="Y76" s="134"/>
      <c r="AA76" s="134"/>
    </row>
    <row r="77" spans="1:27" ht="15.4">
      <c r="A77" s="134">
        <v>1963</v>
      </c>
      <c r="B77" s="427">
        <v>19</v>
      </c>
      <c r="C77" s="138">
        <v>2118.4</v>
      </c>
      <c r="D77" s="134">
        <v>50.1</v>
      </c>
      <c r="E77" s="139">
        <v>274.3</v>
      </c>
      <c r="F77" s="134">
        <v>15.8</v>
      </c>
      <c r="G77" s="134">
        <v>34.799999999999997</v>
      </c>
      <c r="H77" s="134">
        <v>586.5</v>
      </c>
      <c r="I77" s="139">
        <v>961.4</v>
      </c>
      <c r="J77" s="134">
        <v>0</v>
      </c>
      <c r="K77" s="134">
        <v>26.2</v>
      </c>
      <c r="L77" s="134" t="s">
        <v>792</v>
      </c>
      <c r="M77" s="134" t="s">
        <v>792</v>
      </c>
      <c r="N77" s="134" t="s">
        <v>792</v>
      </c>
      <c r="O77" s="134">
        <v>65.099999999999994</v>
      </c>
      <c r="P77" s="140">
        <v>3190.3</v>
      </c>
      <c r="Q77" s="134">
        <v>155.69999999999999</v>
      </c>
      <c r="R77" s="140">
        <v>3346</v>
      </c>
      <c r="T77" s="5">
        <f t="shared" si="0"/>
        <v>3190.2000000000003</v>
      </c>
      <c r="U77" s="24">
        <f t="shared" si="1"/>
        <v>9.9999999999909051E-2</v>
      </c>
      <c r="W77" s="134"/>
      <c r="Y77" s="134"/>
      <c r="AA77" s="134"/>
    </row>
    <row r="78" spans="1:27" ht="15.4">
      <c r="A78" s="134">
        <v>1964</v>
      </c>
      <c r="B78" s="427">
        <v>26.1</v>
      </c>
      <c r="C78" s="138">
        <v>2063</v>
      </c>
      <c r="D78" s="134">
        <v>50</v>
      </c>
      <c r="E78" s="139">
        <v>315.39999999999998</v>
      </c>
      <c r="F78" s="134">
        <v>14.3</v>
      </c>
      <c r="G78" s="134">
        <v>30</v>
      </c>
      <c r="H78" s="134">
        <v>634.4</v>
      </c>
      <c r="I78" s="140">
        <v>1044.2</v>
      </c>
      <c r="J78" s="134">
        <v>0</v>
      </c>
      <c r="K78" s="134">
        <v>28.6</v>
      </c>
      <c r="L78" s="134" t="s">
        <v>792</v>
      </c>
      <c r="M78" s="134" t="s">
        <v>792</v>
      </c>
      <c r="N78" s="134" t="s">
        <v>792</v>
      </c>
      <c r="O78" s="134">
        <v>72.099999999999994</v>
      </c>
      <c r="P78" s="140">
        <v>3234</v>
      </c>
      <c r="Q78" s="134">
        <v>171.4</v>
      </c>
      <c r="R78" s="140">
        <v>3405.4</v>
      </c>
      <c r="T78" s="5">
        <f t="shared" si="0"/>
        <v>3233.9</v>
      </c>
      <c r="U78" s="24">
        <f t="shared" si="1"/>
        <v>9.9999999999909051E-2</v>
      </c>
      <c r="W78" s="134"/>
      <c r="Y78" s="134"/>
      <c r="AA78" s="134"/>
    </row>
    <row r="79" spans="1:27" ht="15.4">
      <c r="A79" s="134">
        <v>1965</v>
      </c>
      <c r="B79" s="427">
        <v>29</v>
      </c>
      <c r="C79" s="138">
        <v>2175.3000000000002</v>
      </c>
      <c r="D79" s="134">
        <v>49.6</v>
      </c>
      <c r="E79" s="139">
        <v>337.5</v>
      </c>
      <c r="F79" s="134">
        <v>13.5</v>
      </c>
      <c r="G79" s="134">
        <v>11.8</v>
      </c>
      <c r="H79" s="134">
        <v>630.4</v>
      </c>
      <c r="I79" s="140">
        <v>1042.9000000000001</v>
      </c>
      <c r="J79" s="134">
        <v>0</v>
      </c>
      <c r="K79" s="134">
        <v>30.7</v>
      </c>
      <c r="L79" s="134" t="s">
        <v>792</v>
      </c>
      <c r="M79" s="134" t="s">
        <v>792</v>
      </c>
      <c r="N79" s="134" t="s">
        <v>792</v>
      </c>
      <c r="O79" s="134">
        <v>80.8</v>
      </c>
      <c r="P79" s="140">
        <v>3358.7</v>
      </c>
      <c r="Q79" s="134">
        <v>192.9</v>
      </c>
      <c r="R79" s="140">
        <v>3551.7</v>
      </c>
      <c r="T79" s="5">
        <f t="shared" si="0"/>
        <v>3358.6000000000004</v>
      </c>
      <c r="U79" s="24">
        <f t="shared" si="1"/>
        <v>9.9999999999454303E-2</v>
      </c>
      <c r="W79" s="134"/>
      <c r="Y79" s="134"/>
      <c r="AA79" s="134"/>
    </row>
    <row r="80" spans="1:27" ht="15.4">
      <c r="A80" s="134">
        <v>1966</v>
      </c>
      <c r="B80" s="427">
        <v>27.7</v>
      </c>
      <c r="C80" s="138">
        <v>2304.4</v>
      </c>
      <c r="D80" s="134">
        <v>47.7</v>
      </c>
      <c r="E80" s="139">
        <v>348.4</v>
      </c>
      <c r="F80" s="134">
        <v>11.6</v>
      </c>
      <c r="G80" s="134">
        <v>12</v>
      </c>
      <c r="H80" s="134">
        <v>706.1</v>
      </c>
      <c r="I80" s="140">
        <v>1125.8</v>
      </c>
      <c r="J80" s="134">
        <v>0</v>
      </c>
      <c r="K80" s="134">
        <v>33.9</v>
      </c>
      <c r="L80" s="134" t="s">
        <v>792</v>
      </c>
      <c r="M80" s="134" t="s">
        <v>792</v>
      </c>
      <c r="N80" s="134" t="s">
        <v>792</v>
      </c>
      <c r="O80" s="134">
        <v>93.1</v>
      </c>
      <c r="P80" s="140">
        <v>3584.9</v>
      </c>
      <c r="Q80" s="134">
        <v>223.1</v>
      </c>
      <c r="R80" s="140">
        <v>3808</v>
      </c>
      <c r="T80" s="5">
        <f t="shared" si="0"/>
        <v>3584.8999999999996</v>
      </c>
      <c r="U80" s="24">
        <f t="shared" si="1"/>
        <v>0</v>
      </c>
      <c r="W80" s="134"/>
      <c r="Y80" s="134"/>
      <c r="AA80" s="134"/>
    </row>
    <row r="81" spans="1:27" ht="15.4">
      <c r="A81" s="134">
        <v>1967</v>
      </c>
      <c r="B81" s="427">
        <v>23.4</v>
      </c>
      <c r="C81" s="138">
        <v>2398.6999999999998</v>
      </c>
      <c r="D81" s="134">
        <v>41.2</v>
      </c>
      <c r="E81" s="139">
        <v>357.3</v>
      </c>
      <c r="F81" s="134">
        <v>10.3</v>
      </c>
      <c r="G81" s="134">
        <v>12.2</v>
      </c>
      <c r="H81" s="134">
        <v>754.9</v>
      </c>
      <c r="I81" s="140">
        <v>1176</v>
      </c>
      <c r="J81" s="134">
        <v>0</v>
      </c>
      <c r="K81" s="134">
        <v>34.6</v>
      </c>
      <c r="L81" s="134" t="s">
        <v>792</v>
      </c>
      <c r="M81" s="134" t="s">
        <v>792</v>
      </c>
      <c r="N81" s="134" t="s">
        <v>792</v>
      </c>
      <c r="O81" s="134">
        <v>101.8</v>
      </c>
      <c r="P81" s="140">
        <v>3734.5</v>
      </c>
      <c r="Q81" s="134">
        <v>243.2</v>
      </c>
      <c r="R81" s="140">
        <v>3977.7</v>
      </c>
      <c r="T81" s="5">
        <f t="shared" si="0"/>
        <v>3734.4</v>
      </c>
      <c r="U81" s="24">
        <f t="shared" si="1"/>
        <v>9.9999999999909051E-2</v>
      </c>
      <c r="W81" s="134"/>
      <c r="Y81" s="134"/>
      <c r="AA81" s="134"/>
    </row>
    <row r="82" spans="1:27" ht="15.4">
      <c r="A82" s="134">
        <v>1968</v>
      </c>
      <c r="B82" s="427">
        <v>24.9</v>
      </c>
      <c r="C82" s="138">
        <v>2500</v>
      </c>
      <c r="D82" s="134">
        <v>28.2</v>
      </c>
      <c r="E82" s="139">
        <v>399.8</v>
      </c>
      <c r="F82" s="134">
        <v>10.1</v>
      </c>
      <c r="G82" s="134">
        <v>12.3</v>
      </c>
      <c r="H82" s="134">
        <v>797.5</v>
      </c>
      <c r="I82" s="140">
        <v>1247.9000000000001</v>
      </c>
      <c r="J82" s="134">
        <v>0</v>
      </c>
      <c r="K82" s="134">
        <v>40.4</v>
      </c>
      <c r="L82" s="134" t="s">
        <v>792</v>
      </c>
      <c r="M82" s="134" t="s">
        <v>792</v>
      </c>
      <c r="N82" s="134" t="s">
        <v>792</v>
      </c>
      <c r="O82" s="134">
        <v>114.6</v>
      </c>
      <c r="P82" s="140">
        <v>3927.9</v>
      </c>
      <c r="Q82" s="134">
        <v>273.5</v>
      </c>
      <c r="R82" s="140">
        <v>4201.3999999999996</v>
      </c>
      <c r="T82" s="5">
        <f t="shared" si="0"/>
        <v>3927.8</v>
      </c>
      <c r="U82" s="24">
        <f t="shared" si="1"/>
        <v>9.9999999999909051E-2</v>
      </c>
      <c r="W82" s="134"/>
      <c r="Y82" s="134"/>
      <c r="AA82" s="134"/>
    </row>
    <row r="83" spans="1:27" ht="15.4">
      <c r="A83" s="134">
        <v>1969</v>
      </c>
      <c r="B83" s="427">
        <v>25.1</v>
      </c>
      <c r="C83" s="138">
        <v>2549.4</v>
      </c>
      <c r="D83" s="134">
        <v>47.2</v>
      </c>
      <c r="E83" s="139">
        <v>463.5</v>
      </c>
      <c r="F83" s="134">
        <v>8.5</v>
      </c>
      <c r="G83" s="134">
        <v>14.2</v>
      </c>
      <c r="H83" s="134">
        <v>832.7</v>
      </c>
      <c r="I83" s="140">
        <v>1366.1</v>
      </c>
      <c r="J83" s="134">
        <v>0</v>
      </c>
      <c r="K83" s="134">
        <v>42.9</v>
      </c>
      <c r="L83" s="134" t="s">
        <v>792</v>
      </c>
      <c r="M83" s="134" t="s">
        <v>792</v>
      </c>
      <c r="N83" s="134" t="s">
        <v>792</v>
      </c>
      <c r="O83" s="134">
        <v>128.80000000000001</v>
      </c>
      <c r="P83" s="140">
        <v>4112.3</v>
      </c>
      <c r="Q83" s="134">
        <v>307.3</v>
      </c>
      <c r="R83" s="140">
        <v>4419.5</v>
      </c>
      <c r="T83" s="5">
        <f t="shared" si="0"/>
        <v>4112.2999999999993</v>
      </c>
      <c r="U83" s="24">
        <f t="shared" si="1"/>
        <v>0</v>
      </c>
      <c r="W83" s="134"/>
      <c r="Y83" s="134"/>
      <c r="AA83" s="134"/>
    </row>
    <row r="84" spans="1:27" ht="15.4">
      <c r="A84" s="134">
        <v>1970</v>
      </c>
      <c r="B84" s="427">
        <v>30.7</v>
      </c>
      <c r="C84" s="138">
        <v>2626.3</v>
      </c>
      <c r="D84" s="134">
        <v>52.1</v>
      </c>
      <c r="E84" s="139">
        <v>465.2</v>
      </c>
      <c r="F84" s="134">
        <v>7.4</v>
      </c>
      <c r="G84" s="134">
        <v>14.4</v>
      </c>
      <c r="H84" s="134">
        <v>857.1</v>
      </c>
      <c r="I84" s="140">
        <v>1396.2</v>
      </c>
      <c r="J84" s="134">
        <v>0</v>
      </c>
      <c r="K84" s="134">
        <v>44.6</v>
      </c>
      <c r="L84" s="134" t="s">
        <v>792</v>
      </c>
      <c r="M84" s="134" t="s">
        <v>792</v>
      </c>
      <c r="N84" s="134" t="s">
        <v>792</v>
      </c>
      <c r="O84" s="134">
        <v>137.4</v>
      </c>
      <c r="P84" s="140">
        <v>4235.3</v>
      </c>
      <c r="Q84" s="134">
        <v>332.4</v>
      </c>
      <c r="R84" s="140">
        <v>4567.7</v>
      </c>
      <c r="T84" s="5">
        <f t="shared" si="0"/>
        <v>4235.2</v>
      </c>
      <c r="U84" s="24">
        <f t="shared" si="1"/>
        <v>0.1000000000003638</v>
      </c>
      <c r="W84" s="134"/>
      <c r="Y84" s="134"/>
      <c r="AA84" s="134"/>
    </row>
    <row r="85" spans="1:27" ht="15.4">
      <c r="A85" s="134">
        <v>1971</v>
      </c>
      <c r="B85" s="427">
        <v>23.9</v>
      </c>
      <c r="C85" s="138">
        <v>2791.2</v>
      </c>
      <c r="D85" s="134">
        <v>55.7</v>
      </c>
      <c r="E85" s="139">
        <v>474.5</v>
      </c>
      <c r="F85" s="134">
        <v>7.9</v>
      </c>
      <c r="G85" s="134">
        <v>12.2</v>
      </c>
      <c r="H85" s="134">
        <v>869.7</v>
      </c>
      <c r="I85" s="140">
        <v>1419.9</v>
      </c>
      <c r="J85" s="134">
        <v>0</v>
      </c>
      <c r="K85" s="134">
        <v>43.8</v>
      </c>
      <c r="L85" s="134" t="s">
        <v>792</v>
      </c>
      <c r="M85" s="134" t="s">
        <v>792</v>
      </c>
      <c r="N85" s="134" t="s">
        <v>792</v>
      </c>
      <c r="O85" s="134">
        <v>144.4</v>
      </c>
      <c r="P85" s="140">
        <v>4423.2</v>
      </c>
      <c r="Q85" s="134">
        <v>348.1</v>
      </c>
      <c r="R85" s="140">
        <v>4771.3</v>
      </c>
      <c r="T85" s="5">
        <f t="shared" si="0"/>
        <v>4423.2999999999993</v>
      </c>
      <c r="U85" s="24">
        <f t="shared" si="1"/>
        <v>-9.9999999999454303E-2</v>
      </c>
      <c r="W85" s="134"/>
      <c r="Y85" s="134"/>
      <c r="AA85" s="134"/>
    </row>
    <row r="86" spans="1:27" ht="15.4">
      <c r="A86" s="134">
        <v>1972</v>
      </c>
      <c r="B86" s="427">
        <v>24.2</v>
      </c>
      <c r="C86" s="138">
        <v>2718.4</v>
      </c>
      <c r="D86" s="134">
        <v>80.099999999999994</v>
      </c>
      <c r="E86" s="139">
        <v>555.6</v>
      </c>
      <c r="F86" s="134">
        <v>6.4</v>
      </c>
      <c r="G86" s="134">
        <v>20.8</v>
      </c>
      <c r="H86" s="134">
        <v>964.3</v>
      </c>
      <c r="I86" s="140">
        <v>1627.2</v>
      </c>
      <c r="J86" s="134">
        <v>0</v>
      </c>
      <c r="K86" s="134">
        <v>51.4</v>
      </c>
      <c r="L86" s="134" t="s">
        <v>792</v>
      </c>
      <c r="M86" s="134" t="s">
        <v>792</v>
      </c>
      <c r="N86" s="134" t="s">
        <v>792</v>
      </c>
      <c r="O86" s="134">
        <v>157.9</v>
      </c>
      <c r="P86" s="140">
        <v>4579.1000000000004</v>
      </c>
      <c r="Q86" s="134">
        <v>377.9</v>
      </c>
      <c r="R86" s="140">
        <v>4957</v>
      </c>
      <c r="T86" s="5">
        <f t="shared" si="0"/>
        <v>4579.0999999999995</v>
      </c>
      <c r="U86" s="24">
        <f t="shared" si="1"/>
        <v>0</v>
      </c>
      <c r="W86" s="134"/>
      <c r="Y86" s="134"/>
      <c r="AA86" s="134"/>
    </row>
    <row r="87" spans="1:27" ht="15.4">
      <c r="A87" s="134">
        <v>1973</v>
      </c>
      <c r="B87" s="427">
        <v>59.6</v>
      </c>
      <c r="C87" s="138">
        <v>2940</v>
      </c>
      <c r="D87" s="134">
        <v>92.4</v>
      </c>
      <c r="E87" s="139">
        <v>587.6</v>
      </c>
      <c r="F87" s="134">
        <v>6.2</v>
      </c>
      <c r="G87" s="134">
        <v>47.8</v>
      </c>
      <c r="H87" s="138">
        <v>1034.3</v>
      </c>
      <c r="I87" s="140">
        <v>1768.3</v>
      </c>
      <c r="J87" s="134">
        <v>0</v>
      </c>
      <c r="K87" s="134">
        <v>53</v>
      </c>
      <c r="L87" s="134" t="s">
        <v>792</v>
      </c>
      <c r="M87" s="134" t="s">
        <v>792</v>
      </c>
      <c r="N87" s="134" t="s">
        <v>792</v>
      </c>
      <c r="O87" s="134">
        <v>169.9</v>
      </c>
      <c r="P87" s="140">
        <v>4990.8</v>
      </c>
      <c r="Q87" s="134">
        <v>403.1</v>
      </c>
      <c r="R87" s="140">
        <v>5394</v>
      </c>
      <c r="T87" s="5">
        <f t="shared" si="0"/>
        <v>4990.7999999999993</v>
      </c>
      <c r="U87" s="24">
        <f t="shared" si="1"/>
        <v>0</v>
      </c>
      <c r="W87" s="134"/>
      <c r="Y87" s="134"/>
      <c r="AA87" s="134"/>
    </row>
    <row r="88" spans="1:27" ht="15.4">
      <c r="A88" s="134">
        <v>1974</v>
      </c>
      <c r="B88" s="427">
        <v>60.3</v>
      </c>
      <c r="C88" s="138">
        <v>2762.7</v>
      </c>
      <c r="D88" s="134">
        <v>88.3</v>
      </c>
      <c r="E88" s="139">
        <v>579</v>
      </c>
      <c r="F88" s="134">
        <v>6</v>
      </c>
      <c r="G88" s="134">
        <v>56.8</v>
      </c>
      <c r="H88" s="138">
        <v>1036.0999999999999</v>
      </c>
      <c r="I88" s="140">
        <v>1766.2</v>
      </c>
      <c r="J88" s="134">
        <v>0</v>
      </c>
      <c r="K88" s="134">
        <v>51.7</v>
      </c>
      <c r="L88" s="134" t="s">
        <v>792</v>
      </c>
      <c r="M88" s="134" t="s">
        <v>792</v>
      </c>
      <c r="N88" s="134" t="s">
        <v>792</v>
      </c>
      <c r="O88" s="134">
        <v>176.1</v>
      </c>
      <c r="P88" s="140">
        <v>4817.1000000000004</v>
      </c>
      <c r="Q88" s="134">
        <v>425.9</v>
      </c>
      <c r="R88" s="140">
        <v>5242.9</v>
      </c>
      <c r="T88" s="5">
        <f t="shared" si="0"/>
        <v>4817.0000000000009</v>
      </c>
      <c r="U88" s="24">
        <f t="shared" si="1"/>
        <v>9.9999999999454303E-2</v>
      </c>
      <c r="W88" s="134"/>
      <c r="Y88" s="134"/>
      <c r="AA88" s="134"/>
    </row>
    <row r="89" spans="1:27" ht="15.4">
      <c r="A89" s="134">
        <v>1975</v>
      </c>
      <c r="B89" s="427">
        <v>77.7</v>
      </c>
      <c r="C89" s="138">
        <v>2224</v>
      </c>
      <c r="D89" s="134">
        <v>89.1</v>
      </c>
      <c r="E89" s="139">
        <v>513.5</v>
      </c>
      <c r="F89" s="134">
        <v>5.2</v>
      </c>
      <c r="G89" s="134">
        <v>69.599999999999994</v>
      </c>
      <c r="H89" s="134">
        <v>959.6</v>
      </c>
      <c r="I89" s="140">
        <v>1637.1</v>
      </c>
      <c r="J89" s="134">
        <v>0.1</v>
      </c>
      <c r="K89" s="134">
        <v>47.2</v>
      </c>
      <c r="L89" s="134" t="s">
        <v>792</v>
      </c>
      <c r="M89" s="134" t="s">
        <v>792</v>
      </c>
      <c r="N89" s="134" t="s">
        <v>792</v>
      </c>
      <c r="O89" s="134">
        <v>186.7</v>
      </c>
      <c r="P89" s="140">
        <v>4172.6000000000004</v>
      </c>
      <c r="Q89" s="134">
        <v>447.8</v>
      </c>
      <c r="R89" s="140">
        <v>4620.3999999999996</v>
      </c>
      <c r="T89" s="5">
        <f t="shared" si="0"/>
        <v>4172.6999999999989</v>
      </c>
      <c r="U89" s="24">
        <f t="shared" si="1"/>
        <v>-9.9999999998544808E-2</v>
      </c>
      <c r="W89" s="134"/>
      <c r="Y89" s="134"/>
      <c r="AA89" s="134"/>
    </row>
    <row r="90" spans="1:27" ht="15.4">
      <c r="A90" s="134">
        <v>1976</v>
      </c>
      <c r="B90" s="427">
        <v>62.9</v>
      </c>
      <c r="C90" s="138">
        <v>2215.6</v>
      </c>
      <c r="D90" s="134">
        <v>101.1</v>
      </c>
      <c r="E90" s="139">
        <v>502.5</v>
      </c>
      <c r="F90" s="134">
        <v>6.4</v>
      </c>
      <c r="G90" s="134">
        <v>82.2</v>
      </c>
      <c r="H90" s="138">
        <v>1129.4000000000001</v>
      </c>
      <c r="I90" s="140">
        <v>1821.6</v>
      </c>
      <c r="J90" s="134">
        <v>0.1</v>
      </c>
      <c r="K90" s="134">
        <v>55.5</v>
      </c>
      <c r="L90" s="134" t="s">
        <v>792</v>
      </c>
      <c r="M90" s="134" t="s">
        <v>792</v>
      </c>
      <c r="N90" s="134" t="s">
        <v>792</v>
      </c>
      <c r="O90" s="134">
        <v>205.6</v>
      </c>
      <c r="P90" s="140">
        <v>4361.2</v>
      </c>
      <c r="Q90" s="134">
        <v>492</v>
      </c>
      <c r="R90" s="140">
        <v>4853.2</v>
      </c>
      <c r="T90" s="5">
        <f t="shared" si="0"/>
        <v>4361.3000000000011</v>
      </c>
      <c r="U90" s="24">
        <f t="shared" si="1"/>
        <v>-0.10000000000127329</v>
      </c>
      <c r="W90" s="134"/>
      <c r="Y90" s="134"/>
      <c r="AA90" s="134"/>
    </row>
    <row r="91" spans="1:27" ht="15.4">
      <c r="A91" s="134">
        <v>1977</v>
      </c>
      <c r="B91" s="427">
        <v>55.7</v>
      </c>
      <c r="C91" s="138">
        <v>2218.5</v>
      </c>
      <c r="D91" s="134">
        <v>157.69999999999999</v>
      </c>
      <c r="E91" s="139">
        <v>499.7</v>
      </c>
      <c r="F91" s="134">
        <v>5</v>
      </c>
      <c r="G91" s="134">
        <v>98.7</v>
      </c>
      <c r="H91" s="138">
        <v>1329.3</v>
      </c>
      <c r="I91" s="140">
        <v>2090.6</v>
      </c>
      <c r="J91" s="134">
        <v>0.1</v>
      </c>
      <c r="K91" s="134">
        <v>60.3</v>
      </c>
      <c r="L91" s="134" t="s">
        <v>792</v>
      </c>
      <c r="M91" s="134" t="s">
        <v>792</v>
      </c>
      <c r="N91" s="134" t="s">
        <v>792</v>
      </c>
      <c r="O91" s="134">
        <v>233</v>
      </c>
      <c r="P91" s="140">
        <v>4658.1000000000004</v>
      </c>
      <c r="Q91" s="134">
        <v>556.79999999999995</v>
      </c>
      <c r="R91" s="140">
        <v>5215</v>
      </c>
      <c r="T91" s="5">
        <f t="shared" si="0"/>
        <v>4658</v>
      </c>
      <c r="U91" s="24">
        <f t="shared" si="1"/>
        <v>0.1000000000003638</v>
      </c>
      <c r="W91" s="134"/>
      <c r="Y91" s="134"/>
      <c r="AA91" s="134"/>
    </row>
    <row r="92" spans="1:27" ht="15.4">
      <c r="A92" s="134">
        <v>1978</v>
      </c>
      <c r="B92" s="427">
        <v>61.2</v>
      </c>
      <c r="C92" s="138">
        <v>2257.6999999999998</v>
      </c>
      <c r="D92" s="134">
        <v>172.7</v>
      </c>
      <c r="E92" s="139">
        <v>503</v>
      </c>
      <c r="F92" s="134">
        <v>3.8</v>
      </c>
      <c r="G92" s="134">
        <v>105.8</v>
      </c>
      <c r="H92" s="138">
        <v>1454.2</v>
      </c>
      <c r="I92" s="140">
        <v>2239.5</v>
      </c>
      <c r="J92" s="134">
        <v>0</v>
      </c>
      <c r="K92" s="134">
        <v>66.3</v>
      </c>
      <c r="L92" s="134" t="s">
        <v>792</v>
      </c>
      <c r="M92" s="134" t="s">
        <v>792</v>
      </c>
      <c r="N92" s="134" t="s">
        <v>792</v>
      </c>
      <c r="O92" s="134">
        <v>246.5</v>
      </c>
      <c r="P92" s="140">
        <v>4871.3</v>
      </c>
      <c r="Q92" s="134">
        <v>596.79999999999995</v>
      </c>
      <c r="R92" s="140">
        <v>5468.2</v>
      </c>
      <c r="T92" s="5">
        <f t="shared" si="0"/>
        <v>4871.2</v>
      </c>
      <c r="U92" s="24">
        <f t="shared" si="1"/>
        <v>0.1000000000003638</v>
      </c>
      <c r="W92" s="134"/>
      <c r="Y92" s="134"/>
      <c r="AA92" s="134"/>
    </row>
    <row r="93" spans="1:27" ht="15.4">
      <c r="A93" s="134">
        <v>1979</v>
      </c>
      <c r="B93" s="427">
        <v>83.6</v>
      </c>
      <c r="C93" s="138">
        <v>2031.8</v>
      </c>
      <c r="D93" s="134">
        <v>198.9</v>
      </c>
      <c r="E93" s="139">
        <v>691.1</v>
      </c>
      <c r="F93" s="134">
        <v>4.5999999999999996</v>
      </c>
      <c r="G93" s="134">
        <v>110.4</v>
      </c>
      <c r="H93" s="138">
        <v>1597.4</v>
      </c>
      <c r="I93" s="140">
        <v>2602.3000000000002</v>
      </c>
      <c r="J93" s="134">
        <v>0</v>
      </c>
      <c r="K93" s="134">
        <v>67</v>
      </c>
      <c r="L93" s="134" t="s">
        <v>792</v>
      </c>
      <c r="M93" s="134" t="s">
        <v>792</v>
      </c>
      <c r="N93" s="134" t="s">
        <v>792</v>
      </c>
      <c r="O93" s="134">
        <v>260.7</v>
      </c>
      <c r="P93" s="140">
        <v>5045.5</v>
      </c>
      <c r="Q93" s="134">
        <v>622.4</v>
      </c>
      <c r="R93" s="140">
        <v>5667.9</v>
      </c>
      <c r="T93" s="5">
        <f t="shared" si="0"/>
        <v>5045.5</v>
      </c>
      <c r="U93" s="24">
        <f t="shared" si="1"/>
        <v>0</v>
      </c>
      <c r="W93" s="134"/>
      <c r="Y93" s="134"/>
      <c r="AA93" s="134"/>
    </row>
    <row r="94" spans="1:27" ht="15.4">
      <c r="A94" s="134">
        <v>1980</v>
      </c>
      <c r="B94" s="427">
        <v>63.3</v>
      </c>
      <c r="C94" s="138">
        <v>2229.6999999999998</v>
      </c>
      <c r="D94" s="134">
        <v>118</v>
      </c>
      <c r="E94" s="139">
        <v>766.6</v>
      </c>
      <c r="F94" s="134">
        <v>2.5</v>
      </c>
      <c r="G94" s="134">
        <v>100.8</v>
      </c>
      <c r="H94" s="138">
        <v>1662.3</v>
      </c>
      <c r="I94" s="140">
        <v>2650</v>
      </c>
      <c r="J94" s="134">
        <v>0</v>
      </c>
      <c r="K94" s="134">
        <v>41.6</v>
      </c>
      <c r="L94" s="134" t="s">
        <v>792</v>
      </c>
      <c r="M94" s="134" t="s">
        <v>792</v>
      </c>
      <c r="N94" s="134" t="s">
        <v>792</v>
      </c>
      <c r="O94" s="134">
        <v>266.8</v>
      </c>
      <c r="P94" s="140">
        <v>5251.4</v>
      </c>
      <c r="Q94" s="134">
        <v>640.9</v>
      </c>
      <c r="R94" s="140">
        <v>5892.3</v>
      </c>
      <c r="T94" s="5">
        <f t="shared" si="0"/>
        <v>5251.6</v>
      </c>
      <c r="U94" s="24">
        <f t="shared" si="1"/>
        <v>-0.2000000000007276</v>
      </c>
      <c r="W94" s="134"/>
      <c r="Y94" s="134"/>
      <c r="AA94" s="134"/>
    </row>
    <row r="95" spans="1:27" ht="15.4">
      <c r="A95" s="134">
        <v>1981</v>
      </c>
      <c r="B95" s="427">
        <v>91.4</v>
      </c>
      <c r="C95" s="138">
        <v>2149.3000000000002</v>
      </c>
      <c r="D95" s="134">
        <v>166.2</v>
      </c>
      <c r="E95" s="139">
        <v>800.8</v>
      </c>
      <c r="F95" s="134">
        <v>3.9</v>
      </c>
      <c r="G95" s="134">
        <v>178.4</v>
      </c>
      <c r="H95" s="138">
        <v>1279</v>
      </c>
      <c r="I95" s="140">
        <v>2428.3000000000002</v>
      </c>
      <c r="J95" s="134">
        <v>0</v>
      </c>
      <c r="K95" s="134">
        <v>43.9</v>
      </c>
      <c r="L95" s="134" t="s">
        <v>793</v>
      </c>
      <c r="M95" s="134" t="s">
        <v>792</v>
      </c>
      <c r="N95" s="134" t="s">
        <v>792</v>
      </c>
      <c r="O95" s="134">
        <v>272.60000000000002</v>
      </c>
      <c r="P95" s="140">
        <v>4985.5</v>
      </c>
      <c r="Q95" s="134">
        <v>638.4</v>
      </c>
      <c r="R95" s="140">
        <v>5624</v>
      </c>
      <c r="T95" s="5">
        <f t="shared" si="0"/>
        <v>4985.5</v>
      </c>
      <c r="U95" s="24">
        <f t="shared" si="1"/>
        <v>0</v>
      </c>
      <c r="W95" s="134"/>
      <c r="Y95" s="134"/>
      <c r="AA95" s="134"/>
    </row>
    <row r="96" spans="1:27" ht="15.4">
      <c r="A96" s="134">
        <v>1982</v>
      </c>
      <c r="B96" s="427">
        <v>83.8</v>
      </c>
      <c r="C96" s="138">
        <v>1644.6</v>
      </c>
      <c r="D96" s="134">
        <v>158.9</v>
      </c>
      <c r="E96" s="139">
        <v>752.5</v>
      </c>
      <c r="F96" s="134">
        <v>3.3</v>
      </c>
      <c r="G96" s="134">
        <v>168.8</v>
      </c>
      <c r="H96" s="138">
        <v>1071.5</v>
      </c>
      <c r="I96" s="140">
        <v>2155</v>
      </c>
      <c r="J96" s="134">
        <v>0</v>
      </c>
      <c r="K96" s="134">
        <v>42.4</v>
      </c>
      <c r="L96" s="134" t="s">
        <v>793</v>
      </c>
      <c r="M96" s="134" t="s">
        <v>792</v>
      </c>
      <c r="N96" s="134" t="s">
        <v>792</v>
      </c>
      <c r="O96" s="134">
        <v>259.5</v>
      </c>
      <c r="P96" s="140">
        <v>4185.3</v>
      </c>
      <c r="Q96" s="134">
        <v>613.6</v>
      </c>
      <c r="R96" s="140">
        <v>4798.8</v>
      </c>
      <c r="T96" s="5">
        <f t="shared" si="0"/>
        <v>4185.3000000000011</v>
      </c>
      <c r="U96" s="24">
        <f t="shared" si="1"/>
        <v>0</v>
      </c>
      <c r="W96" s="134"/>
      <c r="Y96" s="134"/>
      <c r="AA96" s="134"/>
    </row>
    <row r="97" spans="1:27" ht="15.4">
      <c r="A97" s="134">
        <v>1983</v>
      </c>
      <c r="B97" s="427">
        <v>65.900000000000006</v>
      </c>
      <c r="C97" s="138">
        <v>1623.3</v>
      </c>
      <c r="D97" s="134">
        <v>187.4</v>
      </c>
      <c r="E97" s="139">
        <v>673.4</v>
      </c>
      <c r="F97" s="134">
        <v>2.8</v>
      </c>
      <c r="G97" s="134">
        <v>90.5</v>
      </c>
      <c r="H97" s="138">
        <v>1082.7</v>
      </c>
      <c r="I97" s="140">
        <v>2036.7</v>
      </c>
      <c r="J97" s="134">
        <v>0</v>
      </c>
      <c r="K97" s="134">
        <v>47.9</v>
      </c>
      <c r="L97" s="134" t="s">
        <v>793</v>
      </c>
      <c r="M97" s="134" t="s">
        <v>792</v>
      </c>
      <c r="N97" s="134" t="s">
        <v>792</v>
      </c>
      <c r="O97" s="134">
        <v>271.7</v>
      </c>
      <c r="P97" s="140">
        <v>4045.6</v>
      </c>
      <c r="Q97" s="134">
        <v>639</v>
      </c>
      <c r="R97" s="140">
        <v>4684.5</v>
      </c>
      <c r="T97" s="5">
        <f t="shared" si="0"/>
        <v>4045.6</v>
      </c>
      <c r="U97" s="24">
        <f t="shared" si="1"/>
        <v>0</v>
      </c>
      <c r="W97" s="134"/>
      <c r="Y97" s="134"/>
      <c r="AA97" s="134"/>
    </row>
    <row r="98" spans="1:27" ht="15.4">
      <c r="A98" s="134">
        <v>1984</v>
      </c>
      <c r="B98" s="427">
        <v>93.1</v>
      </c>
      <c r="C98" s="138">
        <v>1729</v>
      </c>
      <c r="D98" s="134">
        <v>148.30000000000001</v>
      </c>
      <c r="E98" s="140">
        <v>1010.2</v>
      </c>
      <c r="F98" s="134">
        <v>11.8</v>
      </c>
      <c r="G98" s="134">
        <v>60.5</v>
      </c>
      <c r="H98" s="138">
        <v>1029.7</v>
      </c>
      <c r="I98" s="140">
        <v>2260.6</v>
      </c>
      <c r="J98" s="134">
        <v>0</v>
      </c>
      <c r="K98" s="134">
        <v>48.9</v>
      </c>
      <c r="L98" s="134" t="s">
        <v>793</v>
      </c>
      <c r="M98" s="134" t="s">
        <v>792</v>
      </c>
      <c r="N98" s="134" t="s">
        <v>792</v>
      </c>
      <c r="O98" s="134">
        <v>282.3</v>
      </c>
      <c r="P98" s="140">
        <v>4413.8999999999996</v>
      </c>
      <c r="Q98" s="134">
        <v>643.79999999999995</v>
      </c>
      <c r="R98" s="140">
        <v>5057.7</v>
      </c>
      <c r="T98" s="5">
        <f t="shared" si="0"/>
        <v>4413.8</v>
      </c>
      <c r="U98" s="24">
        <f t="shared" si="1"/>
        <v>9.9999999999454303E-2</v>
      </c>
      <c r="W98" s="134"/>
      <c r="Y98" s="134"/>
      <c r="AA98" s="134"/>
    </row>
    <row r="99" spans="1:27" ht="15.4">
      <c r="A99" s="134">
        <v>1985</v>
      </c>
      <c r="B99" s="427">
        <v>85.4</v>
      </c>
      <c r="C99" s="138">
        <v>1799.3</v>
      </c>
      <c r="D99" s="134">
        <v>112.6</v>
      </c>
      <c r="E99" s="139">
        <v>974.3</v>
      </c>
      <c r="F99" s="134">
        <v>24.7</v>
      </c>
      <c r="G99" s="134">
        <v>37.5</v>
      </c>
      <c r="H99" s="138">
        <v>1016.7</v>
      </c>
      <c r="I99" s="140">
        <v>2165.8000000000002</v>
      </c>
      <c r="J99" s="134">
        <v>0</v>
      </c>
      <c r="K99" s="134">
        <v>48.7</v>
      </c>
      <c r="L99" s="134" t="s">
        <v>793</v>
      </c>
      <c r="M99" s="134" t="s">
        <v>792</v>
      </c>
      <c r="N99" s="134" t="s">
        <v>792</v>
      </c>
      <c r="O99" s="134">
        <v>277.2</v>
      </c>
      <c r="P99" s="140">
        <v>4376.5</v>
      </c>
      <c r="Q99" s="134">
        <v>634.79999999999995</v>
      </c>
      <c r="R99" s="140">
        <v>5011.3</v>
      </c>
      <c r="T99" s="5">
        <f t="shared" si="0"/>
        <v>4376.3999999999996</v>
      </c>
      <c r="U99" s="24">
        <f t="shared" si="1"/>
        <v>0.1000000000003638</v>
      </c>
      <c r="W99" s="134"/>
      <c r="Y99" s="134"/>
      <c r="AA99" s="134"/>
    </row>
    <row r="100" spans="1:27" ht="15.4">
      <c r="A100" s="134">
        <v>1986</v>
      </c>
      <c r="B100" s="427">
        <v>72.2</v>
      </c>
      <c r="C100" s="138">
        <v>1726</v>
      </c>
      <c r="D100" s="134">
        <v>118.6</v>
      </c>
      <c r="E100" s="139">
        <v>961</v>
      </c>
      <c r="F100" s="134">
        <v>23.9</v>
      </c>
      <c r="G100" s="134">
        <v>10.6</v>
      </c>
      <c r="H100" s="138">
        <v>1151.5999999999999</v>
      </c>
      <c r="I100" s="140">
        <v>2265.6</v>
      </c>
      <c r="J100" s="134">
        <v>0</v>
      </c>
      <c r="K100" s="134">
        <v>61.8</v>
      </c>
      <c r="L100" s="134" t="s">
        <v>793</v>
      </c>
      <c r="M100" s="134" t="s">
        <v>792</v>
      </c>
      <c r="N100" s="134" t="s">
        <v>792</v>
      </c>
      <c r="O100" s="134">
        <v>271.3</v>
      </c>
      <c r="P100" s="140">
        <v>4397</v>
      </c>
      <c r="Q100" s="134">
        <v>608.70000000000005</v>
      </c>
      <c r="R100" s="140">
        <v>5005.7</v>
      </c>
      <c r="T100" s="5">
        <f t="shared" si="0"/>
        <v>4397</v>
      </c>
      <c r="U100" s="24">
        <f t="shared" si="1"/>
        <v>0</v>
      </c>
      <c r="W100" s="134"/>
      <c r="Y100" s="134"/>
      <c r="AA100" s="134"/>
    </row>
    <row r="101" spans="1:27" ht="15.4">
      <c r="A101" s="134">
        <v>1987</v>
      </c>
      <c r="B101" s="427">
        <v>61.9</v>
      </c>
      <c r="C101" s="138">
        <v>1881.7</v>
      </c>
      <c r="D101" s="134">
        <v>95.8</v>
      </c>
      <c r="E101" s="140">
        <v>1067.8</v>
      </c>
      <c r="F101" s="134">
        <v>22.2</v>
      </c>
      <c r="G101" s="134">
        <v>8.4</v>
      </c>
      <c r="H101" s="138">
        <v>1147</v>
      </c>
      <c r="I101" s="140">
        <v>2341.1999999999998</v>
      </c>
      <c r="J101" s="134">
        <v>0</v>
      </c>
      <c r="K101" s="134">
        <v>60.8</v>
      </c>
      <c r="L101" s="134" t="s">
        <v>793</v>
      </c>
      <c r="M101" s="134" t="s">
        <v>792</v>
      </c>
      <c r="N101" s="134" t="s">
        <v>792</v>
      </c>
      <c r="O101" s="134">
        <v>270.39999999999998</v>
      </c>
      <c r="P101" s="140">
        <v>4616</v>
      </c>
      <c r="Q101" s="134">
        <v>598.4</v>
      </c>
      <c r="R101" s="140">
        <v>5214.3999999999996</v>
      </c>
      <c r="T101" s="5">
        <f t="shared" si="0"/>
        <v>4615.9999999999991</v>
      </c>
      <c r="U101" s="24">
        <f t="shared" si="1"/>
        <v>0</v>
      </c>
      <c r="W101" s="134"/>
      <c r="Y101" s="134"/>
      <c r="AA101" s="134"/>
    </row>
    <row r="102" spans="1:27" ht="15.4">
      <c r="A102" s="134">
        <v>1988</v>
      </c>
      <c r="B102" s="427">
        <v>52.2</v>
      </c>
      <c r="C102" s="138">
        <v>2074.1999999999998</v>
      </c>
      <c r="D102" s="134">
        <v>102.2</v>
      </c>
      <c r="E102" s="140">
        <v>1126.5999999999999</v>
      </c>
      <c r="F102" s="134">
        <v>21.7</v>
      </c>
      <c r="G102" s="134">
        <v>6.5</v>
      </c>
      <c r="H102" s="138">
        <v>1258.3</v>
      </c>
      <c r="I102" s="140">
        <v>2515.1999999999998</v>
      </c>
      <c r="J102" s="134">
        <v>0</v>
      </c>
      <c r="K102" s="134">
        <v>62.8</v>
      </c>
      <c r="L102" s="134" t="s">
        <v>793</v>
      </c>
      <c r="M102" s="134" t="s">
        <v>792</v>
      </c>
      <c r="N102" s="134" t="s">
        <v>792</v>
      </c>
      <c r="O102" s="134">
        <v>278.3</v>
      </c>
      <c r="P102" s="140">
        <v>4982.8999999999996</v>
      </c>
      <c r="Q102" s="134">
        <v>616.29999999999995</v>
      </c>
      <c r="R102" s="140">
        <v>5599.2</v>
      </c>
      <c r="T102" s="5">
        <f t="shared" si="0"/>
        <v>4982.7999999999993</v>
      </c>
      <c r="U102" s="24">
        <f t="shared" si="1"/>
        <v>0.1000000000003638</v>
      </c>
      <c r="W102" s="134"/>
      <c r="Y102" s="134"/>
      <c r="AA102" s="134"/>
    </row>
    <row r="103" spans="1:27" ht="15.4">
      <c r="A103" s="134">
        <v>1989</v>
      </c>
      <c r="B103" s="427">
        <v>62.3</v>
      </c>
      <c r="C103" s="138">
        <v>2162.1</v>
      </c>
      <c r="D103" s="134">
        <v>103.7</v>
      </c>
      <c r="E103" s="140">
        <v>1181.7</v>
      </c>
      <c r="F103" s="134">
        <v>23.7</v>
      </c>
      <c r="G103" s="134">
        <v>3.2</v>
      </c>
      <c r="H103" s="138">
        <v>1214.3</v>
      </c>
      <c r="I103" s="140">
        <v>2526.6</v>
      </c>
      <c r="J103" s="134">
        <v>0</v>
      </c>
      <c r="K103" s="134">
        <v>72.599999999999994</v>
      </c>
      <c r="L103" s="134" t="s">
        <v>793</v>
      </c>
      <c r="M103" s="134">
        <v>0</v>
      </c>
      <c r="N103" s="134" t="s">
        <v>793</v>
      </c>
      <c r="O103" s="134">
        <v>281.89999999999998</v>
      </c>
      <c r="P103" s="140">
        <v>5105.5</v>
      </c>
      <c r="Q103" s="134">
        <v>650.70000000000005</v>
      </c>
      <c r="R103" s="140">
        <v>5756.2</v>
      </c>
      <c r="T103" s="5">
        <f t="shared" si="0"/>
        <v>5105.5</v>
      </c>
      <c r="U103" s="24">
        <f t="shared" si="1"/>
        <v>0</v>
      </c>
      <c r="W103" s="134"/>
      <c r="Y103" s="134"/>
      <c r="AA103" s="134"/>
    </row>
    <row r="104" spans="1:27" ht="15.4">
      <c r="A104" s="134">
        <v>1990</v>
      </c>
      <c r="B104" s="427">
        <v>61.5</v>
      </c>
      <c r="C104" s="138">
        <v>2194.1</v>
      </c>
      <c r="D104" s="134">
        <v>102.5</v>
      </c>
      <c r="E104" s="140">
        <v>1137.2</v>
      </c>
      <c r="F104" s="134">
        <v>22.8</v>
      </c>
      <c r="G104" s="134">
        <v>8</v>
      </c>
      <c r="H104" s="138">
        <v>1386</v>
      </c>
      <c r="I104" s="140">
        <v>2656.5</v>
      </c>
      <c r="J104" s="134">
        <v>0</v>
      </c>
      <c r="K104" s="134">
        <v>68.099999999999994</v>
      </c>
      <c r="L104" s="134" t="s">
        <v>793</v>
      </c>
      <c r="M104" s="134">
        <v>0</v>
      </c>
      <c r="N104" s="134" t="s">
        <v>793</v>
      </c>
      <c r="O104" s="134">
        <v>286.89999999999998</v>
      </c>
      <c r="P104" s="140">
        <v>5266.5</v>
      </c>
      <c r="Q104" s="134">
        <v>655</v>
      </c>
      <c r="R104" s="140">
        <v>5921.5</v>
      </c>
      <c r="T104" s="5">
        <f t="shared" si="0"/>
        <v>5267.1</v>
      </c>
      <c r="U104" s="24">
        <f t="shared" si="1"/>
        <v>-0.6000000000003638</v>
      </c>
      <c r="W104" s="134"/>
      <c r="Y104" s="134"/>
      <c r="AA104" s="134"/>
    </row>
    <row r="105" spans="1:27" ht="15.4">
      <c r="A105" s="134">
        <v>1991</v>
      </c>
      <c r="B105" s="427">
        <v>63.2</v>
      </c>
      <c r="C105" s="138">
        <v>2152.8000000000002</v>
      </c>
      <c r="D105" s="134">
        <v>101.5</v>
      </c>
      <c r="E105" s="140">
        <v>1265</v>
      </c>
      <c r="F105" s="134">
        <v>24.3</v>
      </c>
      <c r="G105" s="134">
        <v>6.9</v>
      </c>
      <c r="H105" s="138">
        <v>1325.1</v>
      </c>
      <c r="I105" s="140">
        <v>2722.7</v>
      </c>
      <c r="J105" s="134">
        <v>0</v>
      </c>
      <c r="K105" s="134">
        <v>67.3</v>
      </c>
      <c r="L105" s="134" t="s">
        <v>793</v>
      </c>
      <c r="M105" s="134">
        <v>0</v>
      </c>
      <c r="N105" s="134" t="s">
        <v>793</v>
      </c>
      <c r="O105" s="134">
        <v>287</v>
      </c>
      <c r="P105" s="140">
        <v>5292.6</v>
      </c>
      <c r="Q105" s="134">
        <v>651.70000000000005</v>
      </c>
      <c r="R105" s="140">
        <v>5944.3</v>
      </c>
      <c r="T105" s="5">
        <f t="shared" si="0"/>
        <v>5293.1</v>
      </c>
      <c r="U105" s="24">
        <f t="shared" si="1"/>
        <v>-0.5</v>
      </c>
      <c r="W105" s="134"/>
      <c r="Y105" s="134"/>
      <c r="AA105" s="134"/>
    </row>
    <row r="106" spans="1:27" ht="15.4">
      <c r="A106" s="134">
        <v>1992</v>
      </c>
      <c r="B106" s="427">
        <v>60.5</v>
      </c>
      <c r="C106" s="138">
        <v>2129.4</v>
      </c>
      <c r="D106" s="134">
        <v>101.2</v>
      </c>
      <c r="E106" s="140">
        <v>1334.8</v>
      </c>
      <c r="F106" s="134">
        <v>22.8</v>
      </c>
      <c r="G106" s="134">
        <v>5.0999999999999996</v>
      </c>
      <c r="H106" s="138">
        <v>1419.9</v>
      </c>
      <c r="I106" s="140">
        <v>2883.8</v>
      </c>
      <c r="J106" s="134">
        <v>0</v>
      </c>
      <c r="K106" s="134">
        <v>75.5</v>
      </c>
      <c r="L106" s="134" t="s">
        <v>793</v>
      </c>
      <c r="M106" s="134">
        <v>0</v>
      </c>
      <c r="N106" s="134" t="s">
        <v>793</v>
      </c>
      <c r="O106" s="134">
        <v>291.5</v>
      </c>
      <c r="P106" s="140">
        <v>5440.7</v>
      </c>
      <c r="Q106" s="134">
        <v>658.1</v>
      </c>
      <c r="R106" s="140">
        <v>6098.8</v>
      </c>
      <c r="T106" s="5">
        <f t="shared" si="0"/>
        <v>5440.7</v>
      </c>
      <c r="U106" s="24">
        <f t="shared" si="1"/>
        <v>0</v>
      </c>
      <c r="W106" s="134"/>
      <c r="Y106" s="134"/>
      <c r="AA106" s="134"/>
    </row>
    <row r="107" spans="1:27" ht="15.4">
      <c r="A107" s="134">
        <v>1993</v>
      </c>
      <c r="B107" s="427">
        <v>70.900000000000006</v>
      </c>
      <c r="C107" s="138">
        <v>2177.4</v>
      </c>
      <c r="D107" s="134">
        <v>108.6</v>
      </c>
      <c r="E107" s="140">
        <v>1291.2</v>
      </c>
      <c r="F107" s="139">
        <v>17.899999999999999</v>
      </c>
      <c r="G107" s="134">
        <v>15.2</v>
      </c>
      <c r="H107" s="138">
        <v>1392.8</v>
      </c>
      <c r="I107" s="140">
        <v>2825.8</v>
      </c>
      <c r="J107" s="134">
        <v>0</v>
      </c>
      <c r="K107" s="134">
        <v>78.099999999999994</v>
      </c>
      <c r="L107" s="134">
        <v>0</v>
      </c>
      <c r="M107" s="134">
        <v>0</v>
      </c>
      <c r="N107" s="134" t="s">
        <v>793</v>
      </c>
      <c r="O107" s="134">
        <v>296.60000000000002</v>
      </c>
      <c r="P107" s="140">
        <v>5448.8</v>
      </c>
      <c r="Q107" s="134">
        <v>676.8</v>
      </c>
      <c r="R107" s="140">
        <v>6125.7</v>
      </c>
      <c r="T107" s="5">
        <f t="shared" si="0"/>
        <v>5448.7000000000007</v>
      </c>
      <c r="U107" s="24">
        <f t="shared" si="1"/>
        <v>9.9999999999454303E-2</v>
      </c>
      <c r="W107" s="134"/>
      <c r="Y107" s="134"/>
      <c r="AA107" s="134"/>
    </row>
    <row r="108" spans="1:27" ht="15.4">
      <c r="A108" s="134">
        <v>1994</v>
      </c>
      <c r="B108" s="427">
        <v>82.8</v>
      </c>
      <c r="C108" s="138">
        <v>2157.4</v>
      </c>
      <c r="D108" s="134">
        <v>96.6</v>
      </c>
      <c r="E108" s="140">
        <v>1438.4</v>
      </c>
      <c r="F108" s="134">
        <v>19.600000000000001</v>
      </c>
      <c r="G108" s="134">
        <v>15</v>
      </c>
      <c r="H108" s="138">
        <v>1429.8</v>
      </c>
      <c r="I108" s="140">
        <v>2999.4</v>
      </c>
      <c r="J108" s="134">
        <v>0</v>
      </c>
      <c r="K108" s="134">
        <v>78.3</v>
      </c>
      <c r="L108" s="134">
        <v>0</v>
      </c>
      <c r="M108" s="134">
        <v>0</v>
      </c>
      <c r="N108" s="134" t="s">
        <v>793</v>
      </c>
      <c r="O108" s="134">
        <v>308.2</v>
      </c>
      <c r="P108" s="140">
        <v>5626.1</v>
      </c>
      <c r="Q108" s="134">
        <v>709</v>
      </c>
      <c r="R108" s="140">
        <v>6335.2</v>
      </c>
      <c r="T108" s="5">
        <f t="shared" si="0"/>
        <v>5626.1</v>
      </c>
      <c r="U108" s="24">
        <f t="shared" si="1"/>
        <v>0</v>
      </c>
      <c r="W108" s="134"/>
      <c r="Y108" s="134"/>
      <c r="AA108" s="134"/>
    </row>
    <row r="109" spans="1:27" ht="15.4">
      <c r="A109" s="134">
        <v>1995</v>
      </c>
      <c r="B109" s="427">
        <v>63.7</v>
      </c>
      <c r="C109" s="138">
        <v>2280.6</v>
      </c>
      <c r="D109" s="134">
        <v>116.2</v>
      </c>
      <c r="E109" s="140">
        <v>1474.6</v>
      </c>
      <c r="F109" s="139">
        <v>20.5</v>
      </c>
      <c r="G109" s="134">
        <v>15.5</v>
      </c>
      <c r="H109" s="138">
        <v>1369.3</v>
      </c>
      <c r="I109" s="140">
        <v>2996</v>
      </c>
      <c r="J109" s="134">
        <v>0</v>
      </c>
      <c r="K109" s="134">
        <v>83.4</v>
      </c>
      <c r="L109" s="134">
        <v>0</v>
      </c>
      <c r="M109" s="134">
        <v>0</v>
      </c>
      <c r="N109" s="134" t="s">
        <v>793</v>
      </c>
      <c r="O109" s="134">
        <v>307.39999999999998</v>
      </c>
      <c r="P109" s="140">
        <v>5731.1</v>
      </c>
      <c r="Q109" s="134">
        <v>719.2</v>
      </c>
      <c r="R109" s="140">
        <v>6450.3</v>
      </c>
      <c r="T109" s="5">
        <f t="shared" si="0"/>
        <v>5731.1999999999989</v>
      </c>
      <c r="U109" s="24">
        <f t="shared" si="1"/>
        <v>-9.9999999998544808E-2</v>
      </c>
      <c r="W109" s="134"/>
      <c r="Y109" s="134"/>
      <c r="AA109" s="134"/>
    </row>
    <row r="110" spans="1:27" ht="15.4">
      <c r="A110" s="134">
        <v>1996</v>
      </c>
      <c r="B110" s="427">
        <v>73.8</v>
      </c>
      <c r="C110" s="138">
        <v>2531.9</v>
      </c>
      <c r="D110" s="134">
        <v>134.9</v>
      </c>
      <c r="E110" s="140">
        <v>1565</v>
      </c>
      <c r="F110" s="134">
        <v>21.1</v>
      </c>
      <c r="G110" s="134">
        <v>13.2</v>
      </c>
      <c r="H110" s="138">
        <v>1456.3</v>
      </c>
      <c r="I110" s="140">
        <v>3190.5</v>
      </c>
      <c r="J110" s="134">
        <v>0</v>
      </c>
      <c r="K110" s="134">
        <v>81.900000000000006</v>
      </c>
      <c r="L110" s="134">
        <v>0</v>
      </c>
      <c r="M110" s="134">
        <v>0</v>
      </c>
      <c r="N110" s="134" t="s">
        <v>793</v>
      </c>
      <c r="O110" s="134">
        <v>325.2</v>
      </c>
      <c r="P110" s="140">
        <v>6203.3</v>
      </c>
      <c r="Q110" s="134">
        <v>752.3</v>
      </c>
      <c r="R110" s="140">
        <v>6955.6</v>
      </c>
      <c r="T110" s="5">
        <f t="shared" si="0"/>
        <v>6203.3</v>
      </c>
      <c r="U110" s="24">
        <f t="shared" si="1"/>
        <v>0</v>
      </c>
      <c r="W110" s="134"/>
      <c r="Y110" s="134"/>
      <c r="AA110" s="134"/>
    </row>
    <row r="111" spans="1:27" ht="15.4">
      <c r="A111" s="134">
        <v>1997</v>
      </c>
      <c r="B111" s="427">
        <v>74.099999999999994</v>
      </c>
      <c r="C111" s="138">
        <v>2421.8000000000002</v>
      </c>
      <c r="D111" s="134">
        <v>127.4</v>
      </c>
      <c r="E111" s="140">
        <v>1735.1</v>
      </c>
      <c r="F111" s="134">
        <v>22</v>
      </c>
      <c r="G111" s="134">
        <v>11.6</v>
      </c>
      <c r="H111" s="138">
        <v>1604.8</v>
      </c>
      <c r="I111" s="140">
        <v>3501</v>
      </c>
      <c r="J111" s="134">
        <v>0</v>
      </c>
      <c r="K111" s="134">
        <v>89.1</v>
      </c>
      <c r="L111" s="134">
        <v>0</v>
      </c>
      <c r="M111" s="134">
        <v>0</v>
      </c>
      <c r="N111" s="134" t="s">
        <v>793</v>
      </c>
      <c r="O111" s="134">
        <v>342.7</v>
      </c>
      <c r="P111" s="140">
        <v>6428.8</v>
      </c>
      <c r="Q111" s="134">
        <v>791.9</v>
      </c>
      <c r="R111" s="140">
        <v>7220.7</v>
      </c>
      <c r="T111" s="5">
        <f t="shared" si="0"/>
        <v>6428.6</v>
      </c>
      <c r="U111" s="24">
        <f t="shared" si="1"/>
        <v>0.1999999999998181</v>
      </c>
      <c r="W111" s="134"/>
      <c r="Y111" s="134"/>
      <c r="AA111" s="134"/>
    </row>
    <row r="112" spans="1:27" ht="15.4">
      <c r="A112" s="134">
        <v>1998</v>
      </c>
      <c r="B112" s="427">
        <v>62.9</v>
      </c>
      <c r="C112" s="138">
        <v>2445</v>
      </c>
      <c r="D112" s="134">
        <v>138.69999999999999</v>
      </c>
      <c r="E112" s="140">
        <v>1702.9</v>
      </c>
      <c r="F112" s="139">
        <v>25.8</v>
      </c>
      <c r="G112" s="134">
        <v>5.4</v>
      </c>
      <c r="H112" s="138">
        <v>1555.1</v>
      </c>
      <c r="I112" s="140">
        <v>3427.9</v>
      </c>
      <c r="J112" s="134">
        <v>0</v>
      </c>
      <c r="K112" s="134">
        <v>81.599999999999994</v>
      </c>
      <c r="L112" s="134">
        <v>0</v>
      </c>
      <c r="M112" s="134">
        <v>0</v>
      </c>
      <c r="N112" s="134" t="s">
        <v>793</v>
      </c>
      <c r="O112" s="134">
        <v>350.4</v>
      </c>
      <c r="P112" s="140">
        <v>6367.9</v>
      </c>
      <c r="Q112" s="134">
        <v>808</v>
      </c>
      <c r="R112" s="140">
        <v>7175.9</v>
      </c>
      <c r="T112" s="5">
        <f t="shared" si="0"/>
        <v>6367.7999999999993</v>
      </c>
      <c r="U112" s="24">
        <f t="shared" si="1"/>
        <v>0.1000000000003638</v>
      </c>
      <c r="W112" s="134"/>
      <c r="Y112" s="134"/>
      <c r="AA112" s="134"/>
    </row>
    <row r="113" spans="1:40" ht="15.4">
      <c r="A113" s="134">
        <v>1999</v>
      </c>
      <c r="B113" s="427">
        <v>62.6</v>
      </c>
      <c r="C113" s="138">
        <v>2227</v>
      </c>
      <c r="D113" s="134">
        <v>124.9</v>
      </c>
      <c r="E113" s="140">
        <v>1724</v>
      </c>
      <c r="F113" s="134">
        <v>13</v>
      </c>
      <c r="G113" s="134">
        <v>4</v>
      </c>
      <c r="H113" s="138">
        <v>1467.1</v>
      </c>
      <c r="I113" s="140">
        <v>3333</v>
      </c>
      <c r="J113" s="134">
        <v>0</v>
      </c>
      <c r="K113" s="134">
        <v>65.7</v>
      </c>
      <c r="L113" s="134">
        <v>0</v>
      </c>
      <c r="M113" s="134">
        <v>0</v>
      </c>
      <c r="N113" s="134" t="s">
        <v>793</v>
      </c>
      <c r="O113" s="134">
        <v>340.3</v>
      </c>
      <c r="P113" s="140">
        <v>6028.6</v>
      </c>
      <c r="Q113" s="134">
        <v>798.5</v>
      </c>
      <c r="R113" s="140">
        <v>6827.1</v>
      </c>
      <c r="T113" s="5">
        <f t="shared" si="0"/>
        <v>6028.6</v>
      </c>
      <c r="U113" s="24">
        <f t="shared" si="1"/>
        <v>0</v>
      </c>
      <c r="W113" s="134"/>
      <c r="Y113" s="134"/>
      <c r="AA113" s="134"/>
    </row>
    <row r="114" spans="1:40" ht="15.4">
      <c r="A114" s="134">
        <v>2000</v>
      </c>
      <c r="B114" s="427">
        <v>73.099999999999994</v>
      </c>
      <c r="C114" s="138">
        <v>2477.4</v>
      </c>
      <c r="D114" s="134">
        <v>123.3</v>
      </c>
      <c r="E114" s="140">
        <v>1582.9</v>
      </c>
      <c r="F114" s="134">
        <v>13.4</v>
      </c>
      <c r="G114" s="134">
        <v>2.5</v>
      </c>
      <c r="H114" s="138">
        <v>1437.8</v>
      </c>
      <c r="I114" s="140">
        <v>3159.9</v>
      </c>
      <c r="J114" s="134">
        <v>0</v>
      </c>
      <c r="K114" s="134">
        <v>68</v>
      </c>
      <c r="L114" s="134">
        <v>0</v>
      </c>
      <c r="M114" s="134">
        <v>0</v>
      </c>
      <c r="N114" s="134" t="s">
        <v>793</v>
      </c>
      <c r="O114" s="134">
        <v>346.6</v>
      </c>
      <c r="P114" s="140">
        <v>6125</v>
      </c>
      <c r="Q114" s="134">
        <v>798</v>
      </c>
      <c r="R114" s="140">
        <v>6923</v>
      </c>
      <c r="T114" s="5">
        <f t="shared" si="0"/>
        <v>6125.0000000000009</v>
      </c>
      <c r="U114" s="24">
        <f t="shared" si="1"/>
        <v>0</v>
      </c>
      <c r="W114" s="134"/>
      <c r="Y114" s="134"/>
      <c r="AA114" s="134"/>
    </row>
    <row r="115" spans="1:40" ht="15.4">
      <c r="A115" s="134">
        <v>2001</v>
      </c>
      <c r="B115" s="427">
        <v>75.5</v>
      </c>
      <c r="C115" s="138">
        <v>2370.5</v>
      </c>
      <c r="D115" s="134">
        <v>121.6</v>
      </c>
      <c r="E115" s="140">
        <v>1483.7</v>
      </c>
      <c r="F115" s="139">
        <v>24.1</v>
      </c>
      <c r="G115" s="134">
        <v>3.3</v>
      </c>
      <c r="H115" s="138">
        <v>1434.1</v>
      </c>
      <c r="I115" s="140">
        <v>3066.7</v>
      </c>
      <c r="J115" s="134">
        <v>0</v>
      </c>
      <c r="K115" s="134">
        <v>55.9</v>
      </c>
      <c r="L115" s="134">
        <v>0</v>
      </c>
      <c r="M115" s="134">
        <v>0</v>
      </c>
      <c r="N115" s="134" t="s">
        <v>793</v>
      </c>
      <c r="O115" s="134">
        <v>335.1</v>
      </c>
      <c r="P115" s="140">
        <v>5902.9</v>
      </c>
      <c r="Q115" s="134">
        <v>738.4</v>
      </c>
      <c r="R115" s="140">
        <v>6641.2</v>
      </c>
      <c r="T115" s="5">
        <f t="shared" si="0"/>
        <v>5903.8</v>
      </c>
      <c r="U115" s="24">
        <f t="shared" si="1"/>
        <v>-0.9000000000005457</v>
      </c>
      <c r="W115" s="134"/>
      <c r="Y115" s="134"/>
      <c r="AA115" s="134"/>
    </row>
    <row r="116" spans="1:40" ht="15.4">
      <c r="A116" s="134">
        <v>2002</v>
      </c>
      <c r="B116" s="427">
        <v>71.599999999999994</v>
      </c>
      <c r="C116" s="138">
        <v>2320.6999999999998</v>
      </c>
      <c r="D116" s="134">
        <v>114.7</v>
      </c>
      <c r="E116" s="140">
        <v>1568</v>
      </c>
      <c r="F116" s="139">
        <v>26</v>
      </c>
      <c r="G116" s="134">
        <v>5</v>
      </c>
      <c r="H116" s="138">
        <v>1454.3</v>
      </c>
      <c r="I116" s="140">
        <v>3168.1</v>
      </c>
      <c r="J116" s="134">
        <v>0</v>
      </c>
      <c r="K116" s="134">
        <v>65</v>
      </c>
      <c r="L116" s="134">
        <v>0</v>
      </c>
      <c r="M116" s="134">
        <v>0</v>
      </c>
      <c r="N116" s="134" t="s">
        <v>793</v>
      </c>
      <c r="O116" s="134">
        <v>348.9</v>
      </c>
      <c r="P116" s="140">
        <v>5974.2</v>
      </c>
      <c r="Q116" s="134">
        <v>793.1</v>
      </c>
      <c r="R116" s="140">
        <v>6767.3</v>
      </c>
      <c r="T116" s="5">
        <f t="shared" si="0"/>
        <v>5974.2</v>
      </c>
      <c r="U116" s="24">
        <f t="shared" si="1"/>
        <v>0</v>
      </c>
      <c r="W116" s="134"/>
      <c r="Y116" s="134"/>
      <c r="AA116" s="134"/>
    </row>
    <row r="117" spans="1:40" ht="15.4">
      <c r="A117" s="134">
        <v>2003</v>
      </c>
      <c r="B117" s="427">
        <v>72.5</v>
      </c>
      <c r="C117" s="138">
        <v>2195.6</v>
      </c>
      <c r="D117" s="134">
        <v>114</v>
      </c>
      <c r="E117" s="140">
        <v>1606.3</v>
      </c>
      <c r="F117" s="134">
        <v>27.3</v>
      </c>
      <c r="G117" s="134">
        <v>8.9</v>
      </c>
      <c r="H117" s="138">
        <v>1527.6</v>
      </c>
      <c r="I117" s="140">
        <v>3283.9</v>
      </c>
      <c r="J117" s="134">
        <v>0</v>
      </c>
      <c r="K117" s="134">
        <v>60.1</v>
      </c>
      <c r="L117" s="134">
        <v>0</v>
      </c>
      <c r="M117" s="134">
        <v>0</v>
      </c>
      <c r="N117" s="134" t="s">
        <v>793</v>
      </c>
      <c r="O117" s="134">
        <v>356.7</v>
      </c>
      <c r="P117" s="140">
        <v>5968.9</v>
      </c>
      <c r="Q117" s="134">
        <v>775.6</v>
      </c>
      <c r="R117" s="140">
        <v>6744.5</v>
      </c>
      <c r="T117" s="5">
        <f t="shared" si="0"/>
        <v>5969</v>
      </c>
      <c r="U117" s="24">
        <f t="shared" si="1"/>
        <v>-0.1000000000003638</v>
      </c>
      <c r="W117" s="134"/>
      <c r="Y117" s="134"/>
      <c r="AA117" s="134"/>
    </row>
    <row r="118" spans="1:40" ht="15.4">
      <c r="A118" s="134">
        <v>2004</v>
      </c>
      <c r="B118" s="427">
        <v>70.900000000000006</v>
      </c>
      <c r="C118" s="138">
        <v>2157.5</v>
      </c>
      <c r="D118" s="134">
        <v>98.2</v>
      </c>
      <c r="E118" s="140">
        <v>1681.1</v>
      </c>
      <c r="F118" s="134">
        <v>31.3</v>
      </c>
      <c r="G118" s="134">
        <v>6.8</v>
      </c>
      <c r="H118" s="138">
        <v>1645.9</v>
      </c>
      <c r="I118" s="140">
        <v>3463.3</v>
      </c>
      <c r="J118" s="134">
        <v>0</v>
      </c>
      <c r="K118" s="134">
        <v>56.5</v>
      </c>
      <c r="L118" s="134">
        <v>0</v>
      </c>
      <c r="M118" s="134">
        <v>0</v>
      </c>
      <c r="N118" s="134" t="s">
        <v>793</v>
      </c>
      <c r="O118" s="134">
        <v>343.2</v>
      </c>
      <c r="P118" s="140">
        <v>6091.5</v>
      </c>
      <c r="Q118" s="134">
        <v>732.7</v>
      </c>
      <c r="R118" s="140">
        <v>6824.2</v>
      </c>
      <c r="T118" s="5">
        <f t="shared" si="0"/>
        <v>6091.4000000000005</v>
      </c>
      <c r="U118" s="24">
        <f t="shared" si="1"/>
        <v>9.9999999999454303E-2</v>
      </c>
      <c r="W118" s="134"/>
      <c r="AA118" s="134"/>
    </row>
    <row r="119" spans="1:40" ht="15.4">
      <c r="A119" s="134">
        <v>2005</v>
      </c>
      <c r="B119" s="427">
        <v>70.099999999999994</v>
      </c>
      <c r="C119" s="138">
        <v>1673.6</v>
      </c>
      <c r="D119" s="134">
        <v>116.5</v>
      </c>
      <c r="E119" s="140">
        <v>1541.1</v>
      </c>
      <c r="F119" s="139">
        <v>29.9</v>
      </c>
      <c r="G119" s="134">
        <v>22.2</v>
      </c>
      <c r="H119" s="138">
        <v>1568.4</v>
      </c>
      <c r="I119" s="140">
        <v>3278.2</v>
      </c>
      <c r="J119" s="134">
        <v>0</v>
      </c>
      <c r="K119" s="134">
        <v>55.8</v>
      </c>
      <c r="L119" s="134">
        <v>0</v>
      </c>
      <c r="M119" s="134">
        <v>0</v>
      </c>
      <c r="N119" s="134" t="s">
        <v>793</v>
      </c>
      <c r="O119" s="134">
        <v>330.4</v>
      </c>
      <c r="P119" s="140">
        <v>5408.1</v>
      </c>
      <c r="Q119" s="134">
        <v>719.3</v>
      </c>
      <c r="R119" s="140">
        <v>6127.4</v>
      </c>
      <c r="T119" s="5">
        <f t="shared" si="0"/>
        <v>5407.9999999999991</v>
      </c>
      <c r="U119" s="24">
        <f t="shared" si="1"/>
        <v>0.10000000000127329</v>
      </c>
      <c r="W119" s="134"/>
      <c r="Y119" s="483" t="s">
        <v>1087</v>
      </c>
      <c r="Z119" s="483"/>
      <c r="AA119" s="483"/>
      <c r="AB119" s="483"/>
      <c r="AC119" s="483"/>
      <c r="AD119" s="483"/>
      <c r="AE119" s="483"/>
    </row>
    <row r="120" spans="1:40" ht="15.4">
      <c r="A120" s="134">
        <v>2006</v>
      </c>
      <c r="B120" s="427">
        <v>70.900000000000006</v>
      </c>
      <c r="C120" s="138">
        <v>1632.3</v>
      </c>
      <c r="D120" s="134">
        <v>117.7</v>
      </c>
      <c r="E120" s="140">
        <v>1527.9</v>
      </c>
      <c r="F120" s="134">
        <v>31.6</v>
      </c>
      <c r="G120" s="134">
        <v>24.7</v>
      </c>
      <c r="H120" s="138">
        <v>1594.4</v>
      </c>
      <c r="I120" s="140">
        <v>3296.2</v>
      </c>
      <c r="J120" s="134">
        <v>0</v>
      </c>
      <c r="K120" s="134">
        <v>55.6</v>
      </c>
      <c r="L120" s="134">
        <v>0</v>
      </c>
      <c r="M120" s="134">
        <v>0</v>
      </c>
      <c r="N120" s="134">
        <v>0</v>
      </c>
      <c r="O120" s="134">
        <v>357.2</v>
      </c>
      <c r="P120" s="140">
        <v>5412.2</v>
      </c>
      <c r="Q120" s="134">
        <v>732.8</v>
      </c>
      <c r="R120" s="140">
        <v>6145</v>
      </c>
      <c r="T120" s="5">
        <f t="shared" si="0"/>
        <v>5412.3</v>
      </c>
      <c r="U120" s="24">
        <f t="shared" si="1"/>
        <v>-0.1000000000003638</v>
      </c>
      <c r="W120" s="134"/>
      <c r="Y120" s="483"/>
      <c r="Z120" s="483"/>
      <c r="AA120" s="483"/>
      <c r="AB120" s="483"/>
      <c r="AC120" s="483"/>
      <c r="AD120" s="483"/>
      <c r="AE120" s="483"/>
    </row>
    <row r="121" spans="1:40" ht="18">
      <c r="A121" s="134">
        <v>2007</v>
      </c>
      <c r="B121" s="427">
        <v>40.4</v>
      </c>
      <c r="C121" s="138">
        <v>1654.3</v>
      </c>
      <c r="D121" s="134">
        <v>130.6</v>
      </c>
      <c r="E121" s="140">
        <v>1592.4</v>
      </c>
      <c r="F121" s="139">
        <v>23.5</v>
      </c>
      <c r="G121" s="134">
        <v>19.600000000000001</v>
      </c>
      <c r="H121" s="138">
        <v>1360.8</v>
      </c>
      <c r="I121" s="140">
        <v>3127</v>
      </c>
      <c r="J121" s="134">
        <v>0</v>
      </c>
      <c r="K121" s="134">
        <v>58.9</v>
      </c>
      <c r="L121" s="134">
        <v>0</v>
      </c>
      <c r="M121" s="134">
        <v>0</v>
      </c>
      <c r="N121" s="134">
        <v>0</v>
      </c>
      <c r="O121" s="134">
        <v>369.5</v>
      </c>
      <c r="P121" s="140">
        <v>5250.1</v>
      </c>
      <c r="Q121" s="134">
        <v>756.7</v>
      </c>
      <c r="R121" s="140">
        <v>6006.8</v>
      </c>
      <c r="T121" s="5">
        <f t="shared" si="0"/>
        <v>5249.9999999999991</v>
      </c>
      <c r="U121" s="24">
        <f t="shared" si="1"/>
        <v>0.10000000000127329</v>
      </c>
      <c r="W121" s="134"/>
      <c r="Y121" s="134"/>
      <c r="Z121" s="242"/>
      <c r="AA121" s="134"/>
    </row>
    <row r="122" spans="1:40" ht="16.149999999999999" thickBot="1">
      <c r="A122" s="134">
        <v>2008</v>
      </c>
      <c r="B122" s="427">
        <v>39</v>
      </c>
      <c r="C122" s="138">
        <v>1696.9</v>
      </c>
      <c r="D122" s="134">
        <v>153.1</v>
      </c>
      <c r="E122" s="140">
        <v>1252.8</v>
      </c>
      <c r="F122" s="139">
        <v>19.7</v>
      </c>
      <c r="G122" s="134">
        <v>22.8</v>
      </c>
      <c r="H122" s="138">
        <v>1118.9000000000001</v>
      </c>
      <c r="I122" s="140">
        <v>2567.1999999999998</v>
      </c>
      <c r="J122" s="134">
        <v>0</v>
      </c>
      <c r="K122" s="134">
        <v>71.5</v>
      </c>
      <c r="L122" s="134">
        <v>10.5</v>
      </c>
      <c r="M122" s="134">
        <v>0</v>
      </c>
      <c r="N122" s="134">
        <v>0</v>
      </c>
      <c r="O122" s="134">
        <v>361.2</v>
      </c>
      <c r="P122" s="140">
        <v>4746.3999999999996</v>
      </c>
      <c r="Q122" s="134">
        <v>742.7</v>
      </c>
      <c r="R122" s="140">
        <v>5489</v>
      </c>
      <c r="T122" s="5">
        <f t="shared" si="0"/>
        <v>4746.4000000000005</v>
      </c>
      <c r="U122" s="24">
        <f t="shared" si="1"/>
        <v>0</v>
      </c>
      <c r="W122" s="134"/>
      <c r="Y122" s="243" t="s">
        <v>1042</v>
      </c>
      <c r="Z122" s="18" t="s">
        <v>1033</v>
      </c>
      <c r="AA122" s="243" t="s">
        <v>1034</v>
      </c>
      <c r="AB122" s="18" t="s">
        <v>1023</v>
      </c>
      <c r="AC122" s="18" t="s">
        <v>1037</v>
      </c>
      <c r="AD122" s="18" t="s">
        <v>1038</v>
      </c>
      <c r="AE122" s="18" t="s">
        <v>1039</v>
      </c>
      <c r="AI122" s="5" t="s">
        <v>134</v>
      </c>
      <c r="AJ122" s="5" t="s">
        <v>1046</v>
      </c>
      <c r="AK122" s="5" t="s">
        <v>1013</v>
      </c>
      <c r="AL122" s="5" t="s">
        <v>1045</v>
      </c>
      <c r="AM122" s="5" t="s">
        <v>133</v>
      </c>
      <c r="AN122" s="5" t="s">
        <v>342</v>
      </c>
    </row>
    <row r="123" spans="1:40" ht="15.4">
      <c r="A123" s="134">
        <v>2009</v>
      </c>
      <c r="B123" s="427">
        <v>17.100000000000001</v>
      </c>
      <c r="C123" s="138">
        <v>1574.6</v>
      </c>
      <c r="D123" s="139">
        <v>114.3</v>
      </c>
      <c r="E123" s="140">
        <v>1274.2</v>
      </c>
      <c r="F123" s="139">
        <v>19.3</v>
      </c>
      <c r="G123" s="134">
        <v>21.4</v>
      </c>
      <c r="H123" s="138">
        <v>1071.8</v>
      </c>
      <c r="I123" s="140">
        <v>2501.1</v>
      </c>
      <c r="J123" s="134">
        <v>0</v>
      </c>
      <c r="K123" s="134">
        <v>45.3</v>
      </c>
      <c r="L123" s="134">
        <v>9.1999999999999993</v>
      </c>
      <c r="M123" s="134">
        <v>0</v>
      </c>
      <c r="N123" s="134">
        <v>0</v>
      </c>
      <c r="O123" s="134">
        <v>330.7</v>
      </c>
      <c r="P123" s="140">
        <v>4478</v>
      </c>
      <c r="Q123" s="134">
        <v>683.1</v>
      </c>
      <c r="R123" s="140">
        <v>5161.1000000000004</v>
      </c>
      <c r="T123" s="5">
        <f t="shared" si="0"/>
        <v>4477.8999999999996</v>
      </c>
      <c r="U123" s="24">
        <f t="shared" si="1"/>
        <v>0.1000000000003638</v>
      </c>
      <c r="W123" s="134"/>
      <c r="Y123" s="244" t="s">
        <v>796</v>
      </c>
      <c r="Z123" s="245" t="s">
        <v>134</v>
      </c>
      <c r="AA123" s="245" t="s">
        <v>1031</v>
      </c>
      <c r="AB123" s="245">
        <v>23492450.300000001</v>
      </c>
      <c r="AC123" s="246" t="e">
        <f>AB123*#REF!</f>
        <v>#REF!</v>
      </c>
      <c r="AD123" s="246" t="e">
        <f t="shared" ref="AD123:AD146" si="2">AB123+AC123</f>
        <v>#REF!</v>
      </c>
      <c r="AE123" s="254" t="e">
        <f>AD123/SUM(AD123:AD125)</f>
        <v>#REF!</v>
      </c>
      <c r="AH123" s="5" t="s">
        <v>1050</v>
      </c>
      <c r="AI123" s="5">
        <f>B130</f>
        <v>13.8</v>
      </c>
      <c r="AJ123" s="24">
        <f>D130+F130</f>
        <v>190.8</v>
      </c>
      <c r="AK123" s="24">
        <f>E130+H130</f>
        <v>2999.8999999999996</v>
      </c>
      <c r="AL123" s="24">
        <f>C130</f>
        <v>2129.1</v>
      </c>
      <c r="AM123" s="5">
        <f>O130+Q130</f>
        <v>1126.4000000000001</v>
      </c>
      <c r="AN123" s="5">
        <f>G130</f>
        <v>12.6</v>
      </c>
    </row>
    <row r="124" spans="1:40" ht="15.4">
      <c r="A124" s="134">
        <v>2010</v>
      </c>
      <c r="B124" s="427">
        <v>13.8</v>
      </c>
      <c r="C124" s="138">
        <v>1800.5</v>
      </c>
      <c r="D124" s="134">
        <v>129</v>
      </c>
      <c r="E124" s="140">
        <v>1507.9</v>
      </c>
      <c r="F124" s="139">
        <v>29.1</v>
      </c>
      <c r="G124" s="134">
        <v>20.6</v>
      </c>
      <c r="H124" s="140">
        <v>1147.9000000000001</v>
      </c>
      <c r="I124" s="140">
        <v>2834.5</v>
      </c>
      <c r="J124" s="134">
        <v>0</v>
      </c>
      <c r="K124" s="134">
        <v>65</v>
      </c>
      <c r="L124" s="134">
        <v>14.3</v>
      </c>
      <c r="M124" s="134">
        <v>0</v>
      </c>
      <c r="N124" s="134">
        <v>0</v>
      </c>
      <c r="O124" s="134">
        <v>340.4</v>
      </c>
      <c r="P124" s="140">
        <v>5068.5</v>
      </c>
      <c r="Q124" s="134">
        <v>690.4</v>
      </c>
      <c r="R124" s="140">
        <v>5758.9</v>
      </c>
      <c r="T124" s="5">
        <f t="shared" si="0"/>
        <v>5068.4999999999991</v>
      </c>
      <c r="U124" s="24">
        <f t="shared" si="1"/>
        <v>0</v>
      </c>
      <c r="W124" s="134"/>
      <c r="Y124" s="247" t="s">
        <v>796</v>
      </c>
      <c r="Z124" s="224" t="s">
        <v>134</v>
      </c>
      <c r="AA124" s="224" t="s">
        <v>1032</v>
      </c>
      <c r="AB124" s="224">
        <v>30465517.300000001</v>
      </c>
      <c r="AC124" s="177">
        <v>0</v>
      </c>
      <c r="AD124" s="177">
        <f t="shared" si="2"/>
        <v>30465517.300000001</v>
      </c>
      <c r="AE124" s="255" t="e">
        <f>AD124/SUM(AD123:AD125)</f>
        <v>#REF!</v>
      </c>
    </row>
    <row r="125" spans="1:40" ht="15.75" thickBot="1">
      <c r="A125" s="134">
        <v>2011</v>
      </c>
      <c r="B125" s="427">
        <v>19.5</v>
      </c>
      <c r="C125" s="138">
        <v>1831.2</v>
      </c>
      <c r="D125" s="139">
        <v>175.4</v>
      </c>
      <c r="E125" s="140">
        <v>1436.7</v>
      </c>
      <c r="F125" s="134">
        <v>30.6</v>
      </c>
      <c r="G125" s="134">
        <v>28.6</v>
      </c>
      <c r="H125" s="140">
        <v>1142.2</v>
      </c>
      <c r="I125" s="140">
        <v>2813.4</v>
      </c>
      <c r="J125" s="134">
        <v>0</v>
      </c>
      <c r="K125" s="134">
        <v>69.900000000000006</v>
      </c>
      <c r="L125" s="134">
        <v>17.3</v>
      </c>
      <c r="M125" s="134">
        <v>0</v>
      </c>
      <c r="N125" s="134">
        <v>0</v>
      </c>
      <c r="O125" s="134">
        <v>348.5</v>
      </c>
      <c r="P125" s="140">
        <v>5099.7</v>
      </c>
      <c r="Q125" s="134">
        <v>708.1</v>
      </c>
      <c r="R125" s="140">
        <v>5807.8</v>
      </c>
      <c r="T125" s="5">
        <f t="shared" si="0"/>
        <v>5099.8999999999996</v>
      </c>
      <c r="U125" s="24">
        <f t="shared" si="1"/>
        <v>-0.1999999999998181</v>
      </c>
      <c r="W125" s="134"/>
      <c r="Y125" s="248" t="s">
        <v>796</v>
      </c>
      <c r="Z125" s="249" t="s">
        <v>823</v>
      </c>
      <c r="AA125" s="249" t="s">
        <v>1031</v>
      </c>
      <c r="AB125" s="249">
        <v>859625.6</v>
      </c>
      <c r="AC125" s="250" t="e">
        <f>AB125*#REF!</f>
        <v>#REF!</v>
      </c>
      <c r="AD125" s="250" t="e">
        <f t="shared" si="2"/>
        <v>#REF!</v>
      </c>
      <c r="AE125" s="256" t="e">
        <f>AD125/SUM(AD123:AD125)</f>
        <v>#REF!</v>
      </c>
    </row>
    <row r="126" spans="1:40" ht="15.4">
      <c r="A126" s="134">
        <v>2012</v>
      </c>
      <c r="B126" s="427">
        <v>19.8</v>
      </c>
      <c r="C126" s="138">
        <v>1928.3</v>
      </c>
      <c r="D126" s="139">
        <v>197.1</v>
      </c>
      <c r="E126" s="140">
        <v>1603.2</v>
      </c>
      <c r="F126" s="139">
        <v>28.3</v>
      </c>
      <c r="G126" s="134">
        <v>13.6</v>
      </c>
      <c r="H126" s="140">
        <v>1158.4000000000001</v>
      </c>
      <c r="I126" s="140">
        <v>3000.6</v>
      </c>
      <c r="J126" s="134">
        <v>0</v>
      </c>
      <c r="K126" s="134">
        <v>68.7</v>
      </c>
      <c r="L126" s="134">
        <v>18.2</v>
      </c>
      <c r="M126" s="134">
        <v>0</v>
      </c>
      <c r="N126" s="134">
        <v>0</v>
      </c>
      <c r="O126" s="134">
        <v>322.5</v>
      </c>
      <c r="P126" s="140">
        <v>5358.2</v>
      </c>
      <c r="Q126" s="134">
        <v>638.29999999999995</v>
      </c>
      <c r="R126" s="140">
        <v>5996.5</v>
      </c>
      <c r="T126" s="5">
        <f t="shared" si="0"/>
        <v>5358.0999999999995</v>
      </c>
      <c r="U126" s="24">
        <f t="shared" si="1"/>
        <v>0.1000000000003638</v>
      </c>
      <c r="W126" s="134"/>
      <c r="Y126" s="244" t="s">
        <v>814</v>
      </c>
      <c r="Z126" s="245" t="s">
        <v>523</v>
      </c>
      <c r="AA126" s="245" t="s">
        <v>572</v>
      </c>
      <c r="AB126" s="245">
        <v>34440884.100000001</v>
      </c>
      <c r="AC126" s="246">
        <v>0</v>
      </c>
      <c r="AD126" s="246">
        <f t="shared" si="2"/>
        <v>34440884.100000001</v>
      </c>
      <c r="AE126" s="254" t="e">
        <f>AD126/SUM(AD126:AD129)</f>
        <v>#REF!</v>
      </c>
      <c r="AH126" s="5" t="s">
        <v>572</v>
      </c>
      <c r="AI126" s="5">
        <f>AI123*0</f>
        <v>0</v>
      </c>
      <c r="AJ126" s="5" t="e">
        <f>AJ123*AE126</f>
        <v>#REF!</v>
      </c>
      <c r="AK126" s="5" t="e">
        <f>AK123*AE130</f>
        <v>#REF!</v>
      </c>
      <c r="AL126" s="5">
        <f>AL123*0</f>
        <v>0</v>
      </c>
      <c r="AM126" s="5">
        <f>AM123*AE137</f>
        <v>70.175933145230928</v>
      </c>
      <c r="AN126" s="5" t="e">
        <f>AN123*AE141</f>
        <v>#REF!</v>
      </c>
    </row>
    <row r="127" spans="1:40" ht="15.4">
      <c r="A127" s="134">
        <v>2013</v>
      </c>
      <c r="B127" s="427">
        <v>21.6</v>
      </c>
      <c r="C127" s="138">
        <v>1981.1</v>
      </c>
      <c r="D127" s="139">
        <v>188.7</v>
      </c>
      <c r="E127" s="140">
        <v>1757.2</v>
      </c>
      <c r="F127" s="134">
        <v>30.9</v>
      </c>
      <c r="G127" s="134">
        <v>10.199999999999999</v>
      </c>
      <c r="H127" s="140">
        <v>1238.8</v>
      </c>
      <c r="I127" s="140">
        <v>3225.8</v>
      </c>
      <c r="J127" s="134">
        <v>0</v>
      </c>
      <c r="K127" s="134">
        <v>71</v>
      </c>
      <c r="L127" s="134">
        <v>11.1</v>
      </c>
      <c r="M127" s="134">
        <v>0</v>
      </c>
      <c r="N127" s="134">
        <v>0</v>
      </c>
      <c r="O127" s="134">
        <v>347.9</v>
      </c>
      <c r="P127" s="140">
        <v>5658.7</v>
      </c>
      <c r="Q127" s="134">
        <v>697.2</v>
      </c>
      <c r="R127" s="140">
        <v>6355.9</v>
      </c>
      <c r="T127" s="5">
        <f>SUM(B127:H127,J127:N127,O127)</f>
        <v>5658.4999999999991</v>
      </c>
      <c r="U127" s="24">
        <f t="shared" si="1"/>
        <v>0.2000000000007276</v>
      </c>
      <c r="W127" s="134"/>
      <c r="Y127" s="247" t="s">
        <v>814</v>
      </c>
      <c r="Z127" s="224" t="s">
        <v>523</v>
      </c>
      <c r="AA127" s="224" t="s">
        <v>1030</v>
      </c>
      <c r="AB127" s="224">
        <v>80485673.700000003</v>
      </c>
      <c r="AC127" s="177">
        <v>0</v>
      </c>
      <c r="AD127" s="177">
        <f t="shared" si="2"/>
        <v>80485673.700000003</v>
      </c>
      <c r="AE127" s="255" t="e">
        <f>AD127/SUM(AD126:AD129)</f>
        <v>#REF!</v>
      </c>
      <c r="AH127" s="5" t="s">
        <v>1030</v>
      </c>
    </row>
    <row r="128" spans="1:40" ht="15.4">
      <c r="A128" s="134">
        <v>2014</v>
      </c>
      <c r="B128" s="427">
        <v>27.5</v>
      </c>
      <c r="C128" s="138">
        <v>2055.9</v>
      </c>
      <c r="D128" s="139">
        <v>228.1</v>
      </c>
      <c r="E128" s="140">
        <v>1624.8</v>
      </c>
      <c r="F128" s="134">
        <v>22.7</v>
      </c>
      <c r="G128" s="134">
        <v>11.7</v>
      </c>
      <c r="H128" s="140">
        <v>1139.3</v>
      </c>
      <c r="I128" s="140">
        <v>3026.6</v>
      </c>
      <c r="J128" s="134">
        <v>0</v>
      </c>
      <c r="K128" s="134">
        <v>68</v>
      </c>
      <c r="L128" s="134">
        <v>17</v>
      </c>
      <c r="M128" s="134">
        <v>0</v>
      </c>
      <c r="N128" s="134">
        <v>0</v>
      </c>
      <c r="O128" s="134">
        <v>372.5</v>
      </c>
      <c r="P128" s="140">
        <v>5567.5</v>
      </c>
      <c r="Q128" s="134">
        <v>736.5</v>
      </c>
      <c r="R128" s="140">
        <v>6304</v>
      </c>
      <c r="T128" s="5">
        <f>SUM(B128:H128,J128:N128,O128)</f>
        <v>5567.5</v>
      </c>
      <c r="U128" s="24">
        <f t="shared" si="1"/>
        <v>0</v>
      </c>
      <c r="W128" s="134"/>
      <c r="Y128" s="247" t="s">
        <v>814</v>
      </c>
      <c r="Z128" s="224" t="s">
        <v>523</v>
      </c>
      <c r="AA128" s="224" t="s">
        <v>1031</v>
      </c>
      <c r="AB128" s="224">
        <v>6297621.7000000002</v>
      </c>
      <c r="AC128" s="177" t="e">
        <f>AB128*#REF!</f>
        <v>#REF!</v>
      </c>
      <c r="AD128" s="177" t="e">
        <f t="shared" si="2"/>
        <v>#REF!</v>
      </c>
      <c r="AE128" s="255" t="e">
        <f>AD128/SUM(AD126:AD129)</f>
        <v>#REF!</v>
      </c>
      <c r="AH128" s="5" t="s">
        <v>1032</v>
      </c>
      <c r="AI128" s="5" t="e">
        <f>AI123*AE124</f>
        <v>#REF!</v>
      </c>
      <c r="AJ128" s="5" t="e">
        <f>AJ123*AE129</f>
        <v>#REF!</v>
      </c>
      <c r="AK128" s="5" t="e">
        <f>AK123*AE133</f>
        <v>#REF!</v>
      </c>
      <c r="AL128" s="5" t="e">
        <f>AL123*AE136</f>
        <v>#REF!</v>
      </c>
      <c r="AM128" s="5">
        <f>AM123*AE140</f>
        <v>310.22973298053716</v>
      </c>
      <c r="AN128" s="5" t="e">
        <f>AN123*AE143</f>
        <v>#REF!</v>
      </c>
    </row>
    <row r="129" spans="1:40" ht="15.75" thickBot="1">
      <c r="A129" s="134">
        <v>2015</v>
      </c>
      <c r="B129" s="427">
        <v>20.399999999999999</v>
      </c>
      <c r="C129" s="138">
        <v>2094.8000000000002</v>
      </c>
      <c r="D129" s="139">
        <v>158.19999999999999</v>
      </c>
      <c r="E129" s="140">
        <v>1830.7</v>
      </c>
      <c r="F129" s="134">
        <v>18.600000000000001</v>
      </c>
      <c r="G129" s="134">
        <f>AVERAGE(G130,G128)</f>
        <v>12.149999999999999</v>
      </c>
      <c r="H129" s="140">
        <v>1151.5999999999999</v>
      </c>
      <c r="I129" s="140">
        <v>3167</v>
      </c>
      <c r="J129" s="134">
        <v>0</v>
      </c>
      <c r="K129" s="134">
        <v>66.7</v>
      </c>
      <c r="L129" s="134">
        <v>19.7</v>
      </c>
      <c r="M129" s="134">
        <v>0</v>
      </c>
      <c r="N129" s="134">
        <v>0</v>
      </c>
      <c r="O129" s="134">
        <v>375.9</v>
      </c>
      <c r="P129" s="140">
        <v>5744.6</v>
      </c>
      <c r="Q129" s="134">
        <v>717.5</v>
      </c>
      <c r="R129" s="140">
        <v>6462.1</v>
      </c>
      <c r="T129" s="5">
        <f t="shared" si="0"/>
        <v>5748.75</v>
      </c>
      <c r="U129" s="24">
        <f t="shared" si="1"/>
        <v>-4.1499999999996362</v>
      </c>
      <c r="W129" s="134"/>
      <c r="Y129" s="248" t="s">
        <v>814</v>
      </c>
      <c r="Z129" s="249" t="s">
        <v>523</v>
      </c>
      <c r="AA129" s="249" t="s">
        <v>1032</v>
      </c>
      <c r="AB129" s="249">
        <v>40791960.5</v>
      </c>
      <c r="AC129" s="250">
        <v>0</v>
      </c>
      <c r="AD129" s="250">
        <f t="shared" si="2"/>
        <v>40791960.5</v>
      </c>
      <c r="AE129" s="256" t="e">
        <f>AD129/SUM(AD126:AD129)</f>
        <v>#REF!</v>
      </c>
      <c r="AH129" s="5" t="s">
        <v>1031</v>
      </c>
      <c r="AI129" s="5" t="e">
        <f>AI123*(AE125+AE123)</f>
        <v>#REF!</v>
      </c>
      <c r="AJ129" s="5" t="e">
        <f>AJ123*AE128</f>
        <v>#REF!</v>
      </c>
      <c r="AK129" s="5" t="e">
        <f>AK123*AE132</f>
        <v>#REF!</v>
      </c>
      <c r="AL129" s="5" t="e">
        <f>AL123*AE135</f>
        <v>#REF!</v>
      </c>
      <c r="AM129" s="5">
        <f>AM123*AE139</f>
        <v>682.53534171645947</v>
      </c>
      <c r="AN129" s="5" t="e">
        <f>AN123*AE142</f>
        <v>#REF!</v>
      </c>
    </row>
    <row r="130" spans="1:40" ht="15.4">
      <c r="A130" s="233">
        <v>2016</v>
      </c>
      <c r="B130" s="428">
        <v>13.8</v>
      </c>
      <c r="C130" s="234">
        <v>2129.1</v>
      </c>
      <c r="D130" s="235">
        <v>172.3</v>
      </c>
      <c r="E130" s="234">
        <v>1817.3</v>
      </c>
      <c r="F130" s="233">
        <v>18.5</v>
      </c>
      <c r="G130" s="233">
        <v>12.6</v>
      </c>
      <c r="H130" s="234">
        <v>1182.5999999999999</v>
      </c>
      <c r="I130" s="234">
        <v>3203.3</v>
      </c>
      <c r="J130" s="233">
        <v>0</v>
      </c>
      <c r="K130" s="233">
        <v>69</v>
      </c>
      <c r="L130" s="233">
        <v>20.6</v>
      </c>
      <c r="M130" s="233">
        <v>0</v>
      </c>
      <c r="N130" s="233">
        <v>0</v>
      </c>
      <c r="O130" s="233">
        <v>386.9</v>
      </c>
      <c r="P130" s="234">
        <v>5822.7</v>
      </c>
      <c r="Q130" s="235">
        <v>739.5</v>
      </c>
      <c r="R130" s="234">
        <v>6562.3</v>
      </c>
      <c r="S130" s="236"/>
      <c r="T130" s="237">
        <f t="shared" si="0"/>
        <v>5822.7000000000007</v>
      </c>
      <c r="U130" s="236">
        <f t="shared" si="1"/>
        <v>0</v>
      </c>
      <c r="W130" s="134"/>
      <c r="Y130" s="251" t="s">
        <v>340</v>
      </c>
      <c r="Z130" s="245" t="s">
        <v>820</v>
      </c>
      <c r="AA130" s="245" t="s">
        <v>572</v>
      </c>
      <c r="AB130" s="245">
        <v>5363798.5999999996</v>
      </c>
      <c r="AC130" s="246">
        <v>0</v>
      </c>
      <c r="AD130" s="246">
        <f t="shared" si="2"/>
        <v>5363798.5999999996</v>
      </c>
      <c r="AE130" s="254" t="e">
        <f>AD130/SUM(AD130:AD133)</f>
        <v>#REF!</v>
      </c>
    </row>
    <row r="131" spans="1:40" ht="15.4">
      <c r="A131" s="134">
        <v>2017</v>
      </c>
      <c r="B131" s="427">
        <v>12.5</v>
      </c>
      <c r="C131" s="138">
        <v>2153.1999999999998</v>
      </c>
      <c r="D131" s="134">
        <v>176.1</v>
      </c>
      <c r="E131" s="138">
        <v>1891.3</v>
      </c>
      <c r="F131" s="134">
        <v>18.7</v>
      </c>
      <c r="G131" s="134">
        <v>15.8</v>
      </c>
      <c r="H131" s="138">
        <v>1193.4000000000001</v>
      </c>
      <c r="I131" s="138">
        <v>3295.4</v>
      </c>
      <c r="J131" s="134">
        <v>0</v>
      </c>
      <c r="K131" s="134">
        <v>67.900000000000006</v>
      </c>
      <c r="L131" s="134">
        <v>20.3</v>
      </c>
      <c r="M131" s="134">
        <v>0</v>
      </c>
      <c r="N131" s="134" t="s">
        <v>793</v>
      </c>
      <c r="O131" s="134">
        <v>409.3</v>
      </c>
      <c r="P131" s="138">
        <v>5958.7</v>
      </c>
      <c r="Q131" s="134">
        <v>795.7</v>
      </c>
      <c r="R131" s="138">
        <v>6754.4</v>
      </c>
      <c r="S131" s="5">
        <f>R131/R130</f>
        <v>1.0292732730902274</v>
      </c>
      <c r="T131" s="5">
        <f t="shared" si="0"/>
        <v>5958.5</v>
      </c>
      <c r="U131" s="24">
        <f t="shared" si="1"/>
        <v>0.1999999999998181</v>
      </c>
      <c r="W131" s="134"/>
      <c r="Y131" s="252" t="s">
        <v>340</v>
      </c>
      <c r="Z131" s="224" t="s">
        <v>820</v>
      </c>
      <c r="AA131" s="224" t="s">
        <v>1030</v>
      </c>
      <c r="AB131" s="224">
        <v>3842604</v>
      </c>
      <c r="AC131" s="177">
        <v>0</v>
      </c>
      <c r="AD131" s="177">
        <f t="shared" si="2"/>
        <v>3842604</v>
      </c>
      <c r="AE131" s="255" t="e">
        <f>AD131/SUM(AD130:AD133)</f>
        <v>#REF!</v>
      </c>
    </row>
    <row r="132" spans="1:40" ht="15.4">
      <c r="A132" s="134"/>
      <c r="B132" s="427" t="s">
        <v>134</v>
      </c>
      <c r="C132" s="138" t="s">
        <v>1045</v>
      </c>
      <c r="D132" s="134"/>
      <c r="E132" s="138" t="s">
        <v>1013</v>
      </c>
      <c r="F132" s="134" t="s">
        <v>1046</v>
      </c>
      <c r="G132" s="134" t="s">
        <v>342</v>
      </c>
      <c r="H132" s="134" t="s">
        <v>1013</v>
      </c>
      <c r="I132" s="257" t="s">
        <v>1047</v>
      </c>
      <c r="J132" s="134" t="s">
        <v>1048</v>
      </c>
      <c r="K132" s="134" t="s">
        <v>136</v>
      </c>
      <c r="L132" s="134" t="s">
        <v>136</v>
      </c>
      <c r="M132" s="134" t="s">
        <v>1048</v>
      </c>
      <c r="N132" s="134" t="s">
        <v>1048</v>
      </c>
      <c r="O132" s="134" t="s">
        <v>1049</v>
      </c>
      <c r="P132" s="138"/>
      <c r="Q132" s="134" t="s">
        <v>133</v>
      </c>
      <c r="R132" s="138"/>
      <c r="W132" s="134"/>
      <c r="Y132" s="252" t="s">
        <v>340</v>
      </c>
      <c r="Z132" s="224" t="s">
        <v>820</v>
      </c>
      <c r="AA132" s="224" t="s">
        <v>1031</v>
      </c>
      <c r="AB132" s="224">
        <v>4694616.4000000004</v>
      </c>
      <c r="AC132" s="177" t="e">
        <f>AB132*#REF!</f>
        <v>#REF!</v>
      </c>
      <c r="AD132" s="177" t="e">
        <f t="shared" si="2"/>
        <v>#REF!</v>
      </c>
      <c r="AE132" s="255" t="e">
        <f>AD132/SUM(AD130:AD133)</f>
        <v>#REF!</v>
      </c>
    </row>
    <row r="133" spans="1:40" ht="15.75" thickBot="1">
      <c r="A133" s="134"/>
      <c r="B133" s="427">
        <f>B131/B130</f>
        <v>0.90579710144927528</v>
      </c>
      <c r="C133" s="134">
        <f>C131/C130</f>
        <v>1.0113193368089803</v>
      </c>
      <c r="D133" s="134"/>
      <c r="E133" s="138">
        <f>(E131+H131)/(E130+H130)</f>
        <v>1.0282676089202973</v>
      </c>
      <c r="F133" s="134">
        <f>(F131+D131)/(F130+D130)</f>
        <v>1.020964360587002</v>
      </c>
      <c r="G133" s="134">
        <f>G131/G130</f>
        <v>1.253968253968254</v>
      </c>
      <c r="H133" s="134" t="s">
        <v>1250</v>
      </c>
      <c r="I133" s="134">
        <f>I131/I130</f>
        <v>1.02875159991259</v>
      </c>
      <c r="J133" s="134"/>
      <c r="K133" s="134">
        <f>K131/K130</f>
        <v>0.98405797101449288</v>
      </c>
      <c r="L133" s="134">
        <f>L131/L130</f>
        <v>0.9854368932038835</v>
      </c>
      <c r="M133" s="134"/>
      <c r="N133" s="134"/>
      <c r="O133" s="134">
        <f>O131/O130</f>
        <v>1.0578960971827347</v>
      </c>
      <c r="P133" s="138"/>
      <c r="Q133" s="134"/>
      <c r="R133" s="24"/>
      <c r="W133" s="134"/>
      <c r="Y133" s="253" t="s">
        <v>340</v>
      </c>
      <c r="Z133" s="249" t="s">
        <v>820</v>
      </c>
      <c r="AA133" s="249" t="s">
        <v>1032</v>
      </c>
      <c r="AB133" s="249">
        <v>4057856.4</v>
      </c>
      <c r="AC133" s="250">
        <v>0</v>
      </c>
      <c r="AD133" s="250">
        <f t="shared" si="2"/>
        <v>4057856.4</v>
      </c>
      <c r="AE133" s="256" t="e">
        <f>AD133/SUM(AD130:AD133)</f>
        <v>#REF!</v>
      </c>
    </row>
    <row r="134" spans="1:40" ht="15.75">
      <c r="A134" s="134"/>
      <c r="B134" s="427"/>
      <c r="C134" s="138"/>
      <c r="D134" s="134"/>
      <c r="E134" s="138"/>
      <c r="F134" s="134"/>
      <c r="G134" s="134"/>
      <c r="H134" s="138"/>
      <c r="I134" s="138"/>
      <c r="J134" s="134"/>
      <c r="K134" s="134"/>
      <c r="L134" s="134"/>
      <c r="M134" s="134"/>
      <c r="N134" s="134"/>
      <c r="O134" s="134"/>
      <c r="P134" s="138"/>
      <c r="Q134" s="134"/>
      <c r="R134" s="241"/>
      <c r="W134" s="134"/>
      <c r="Y134" s="244" t="s">
        <v>797</v>
      </c>
      <c r="Z134" s="245" t="s">
        <v>821</v>
      </c>
      <c r="AA134" s="245" t="s">
        <v>1030</v>
      </c>
      <c r="AB134" s="245">
        <v>26142770.100000001</v>
      </c>
      <c r="AC134" s="246">
        <v>0</v>
      </c>
      <c r="AD134" s="246">
        <f t="shared" si="2"/>
        <v>26142770.100000001</v>
      </c>
      <c r="AE134" s="254" t="e">
        <f>AD134/SUM(AD134:AD136)</f>
        <v>#REF!</v>
      </c>
    </row>
    <row r="135" spans="1:40" ht="15.75">
      <c r="A135" s="134"/>
      <c r="B135" s="427"/>
      <c r="C135" s="138"/>
      <c r="D135" s="134"/>
      <c r="F135" s="134"/>
      <c r="G135" s="134"/>
      <c r="H135" s="138"/>
      <c r="I135" s="138"/>
      <c r="J135" s="134"/>
      <c r="K135" s="134"/>
      <c r="L135" s="138"/>
      <c r="M135" s="134"/>
      <c r="N135" s="134"/>
      <c r="O135" s="134"/>
      <c r="P135" s="138"/>
      <c r="Q135" s="134"/>
      <c r="R135" s="241">
        <f>3898056744*1000000</f>
        <v>3898056744000000</v>
      </c>
      <c r="W135" s="134"/>
      <c r="Y135" s="247" t="s">
        <v>797</v>
      </c>
      <c r="Z135" s="224" t="s">
        <v>821</v>
      </c>
      <c r="AA135" s="224" t="s">
        <v>1031</v>
      </c>
      <c r="AB135" s="224">
        <v>968665778.70000005</v>
      </c>
      <c r="AC135" s="177" t="e">
        <f>AB135*#REF!</f>
        <v>#REF!</v>
      </c>
      <c r="AD135" s="177" t="e">
        <f t="shared" si="2"/>
        <v>#REF!</v>
      </c>
      <c r="AE135" s="255" t="e">
        <f>AD135/SUM(AD134:AD136)</f>
        <v>#REF!</v>
      </c>
    </row>
    <row r="136" spans="1:40" ht="15.75" thickBot="1">
      <c r="H136" s="138"/>
      <c r="R136" s="5">
        <f>R135/1000000000000</f>
        <v>3898.056744</v>
      </c>
      <c r="Y136" s="248" t="s">
        <v>797</v>
      </c>
      <c r="Z136" s="249" t="s">
        <v>821</v>
      </c>
      <c r="AA136" s="249" t="s">
        <v>1032</v>
      </c>
      <c r="AB136" s="249">
        <v>1105494229.7</v>
      </c>
      <c r="AC136" s="250">
        <v>0</v>
      </c>
      <c r="AD136" s="250">
        <f t="shared" si="2"/>
        <v>1105494229.7</v>
      </c>
      <c r="AE136" s="256" t="e">
        <f>AD136/SUM(AD134:AD136)</f>
        <v>#REF!</v>
      </c>
    </row>
    <row r="137" spans="1:40">
      <c r="Y137" s="244" t="s">
        <v>1043</v>
      </c>
      <c r="Z137" s="245" t="s">
        <v>819</v>
      </c>
      <c r="AA137" s="245" t="s">
        <v>572</v>
      </c>
      <c r="AB137" s="245">
        <v>21067721.100000001</v>
      </c>
      <c r="AC137" s="246">
        <v>0</v>
      </c>
      <c r="AD137" s="246">
        <f t="shared" si="2"/>
        <v>21067721.100000001</v>
      </c>
      <c r="AE137" s="254">
        <f>AD137/SUM(AD137:AD140)</f>
        <v>6.2301077011035981E-2</v>
      </c>
    </row>
    <row r="138" spans="1:40">
      <c r="A138" s="5" t="s">
        <v>809</v>
      </c>
      <c r="Y138" s="247" t="s">
        <v>1043</v>
      </c>
      <c r="Z138" s="224" t="s">
        <v>819</v>
      </c>
      <c r="AA138" s="224" t="s">
        <v>1030</v>
      </c>
      <c r="AB138" s="224">
        <v>19051208.699999999</v>
      </c>
      <c r="AC138" s="177">
        <v>0</v>
      </c>
      <c r="AD138" s="177">
        <f t="shared" si="2"/>
        <v>19051208.699999999</v>
      </c>
      <c r="AE138" s="255">
        <f>AD138/SUM(AD137:AD140)</f>
        <v>5.6337883662795338E-2</v>
      </c>
    </row>
    <row r="139" spans="1:40">
      <c r="A139" s="5" t="s">
        <v>810</v>
      </c>
      <c r="Y139" s="247" t="s">
        <v>1043</v>
      </c>
      <c r="Z139" s="224" t="s">
        <v>819</v>
      </c>
      <c r="AA139" s="224" t="s">
        <v>1031</v>
      </c>
      <c r="AB139" s="224">
        <v>204905921.09999999</v>
      </c>
      <c r="AC139" s="177">
        <v>0</v>
      </c>
      <c r="AD139" s="177">
        <f t="shared" si="2"/>
        <v>204905921.09999999</v>
      </c>
      <c r="AE139" s="255">
        <f>AD139/SUM(AD137:AD140)</f>
        <v>0.60594401785907259</v>
      </c>
    </row>
    <row r="140" spans="1:40" ht="14.65" thickBot="1">
      <c r="Y140" s="248" t="s">
        <v>1043</v>
      </c>
      <c r="Z140" s="249" t="s">
        <v>819</v>
      </c>
      <c r="AA140" s="249" t="s">
        <v>1032</v>
      </c>
      <c r="AB140" s="249">
        <v>93134970.900000006</v>
      </c>
      <c r="AC140" s="250">
        <v>0</v>
      </c>
      <c r="AD140" s="250">
        <f t="shared" si="2"/>
        <v>93134970.900000006</v>
      </c>
      <c r="AE140" s="256">
        <f>AD140/SUM(AD137:AD140)</f>
        <v>0.27541702146709618</v>
      </c>
    </row>
    <row r="141" spans="1:40">
      <c r="A141" s="141"/>
      <c r="B141" s="480" t="s">
        <v>811</v>
      </c>
      <c r="C141" s="480"/>
      <c r="D141" s="480"/>
      <c r="E141" s="480"/>
      <c r="F141" s="480"/>
      <c r="G141" s="480"/>
      <c r="H141" s="480"/>
      <c r="I141" s="480"/>
      <c r="J141" s="480"/>
      <c r="K141" s="480"/>
      <c r="L141" s="480"/>
      <c r="M141" s="480"/>
      <c r="N141" s="480"/>
      <c r="O141" s="480"/>
      <c r="P141" s="480"/>
      <c r="Q141" s="480"/>
      <c r="R141" s="480"/>
      <c r="Y141" s="244" t="s">
        <v>1044</v>
      </c>
      <c r="Z141" s="245" t="s">
        <v>822</v>
      </c>
      <c r="AA141" s="245" t="s">
        <v>572</v>
      </c>
      <c r="AB141" s="245">
        <v>0</v>
      </c>
      <c r="AC141" s="246">
        <v>0</v>
      </c>
      <c r="AD141" s="246">
        <f t="shared" si="2"/>
        <v>0</v>
      </c>
      <c r="AE141" s="254" t="e">
        <f>AD141/SUM(AD141:AD143)</f>
        <v>#REF!</v>
      </c>
    </row>
    <row r="142" spans="1:40">
      <c r="B142" s="480"/>
      <c r="C142" s="480"/>
      <c r="D142" s="480"/>
      <c r="E142" s="480"/>
      <c r="F142" s="480"/>
      <c r="G142" s="480"/>
      <c r="H142" s="480"/>
      <c r="I142" s="480"/>
      <c r="J142" s="480"/>
      <c r="K142" s="480"/>
      <c r="L142" s="480"/>
      <c r="M142" s="480"/>
      <c r="N142" s="480"/>
      <c r="O142" s="480"/>
      <c r="P142" s="480"/>
      <c r="Q142" s="480"/>
      <c r="R142" s="480"/>
      <c r="Y142" s="247" t="s">
        <v>1044</v>
      </c>
      <c r="Z142" s="224" t="s">
        <v>822</v>
      </c>
      <c r="AA142" s="224" t="s">
        <v>1031</v>
      </c>
      <c r="AB142" s="224">
        <v>536765.1</v>
      </c>
      <c r="AC142" s="177" t="e">
        <f>AB142*#REF!</f>
        <v>#REF!</v>
      </c>
      <c r="AD142" s="177" t="e">
        <f t="shared" si="2"/>
        <v>#REF!</v>
      </c>
      <c r="AE142" s="255" t="e">
        <f>AD142/SUM(AD141:AD143)</f>
        <v>#REF!</v>
      </c>
    </row>
    <row r="143" spans="1:40" ht="14.65" thickBot="1">
      <c r="Y143" s="248" t="s">
        <v>1044</v>
      </c>
      <c r="Z143" s="249" t="s">
        <v>822</v>
      </c>
      <c r="AA143" s="249" t="s">
        <v>1032</v>
      </c>
      <c r="AB143" s="249">
        <v>19807426.399999999</v>
      </c>
      <c r="AC143" s="250">
        <v>0</v>
      </c>
      <c r="AD143" s="250">
        <f t="shared" si="2"/>
        <v>19807426.399999999</v>
      </c>
      <c r="AE143" s="256" t="e">
        <f>AD143/SUM(AD141:AD143)</f>
        <v>#REF!</v>
      </c>
    </row>
    <row r="144" spans="1:40">
      <c r="B144" s="481" t="s">
        <v>812</v>
      </c>
      <c r="C144" s="481"/>
      <c r="D144" s="481"/>
      <c r="E144" s="481"/>
      <c r="F144" s="481"/>
      <c r="G144" s="481"/>
      <c r="H144" s="481"/>
      <c r="I144" s="481"/>
      <c r="J144" s="481"/>
      <c r="K144" s="481"/>
      <c r="L144" s="481"/>
      <c r="M144" s="481"/>
      <c r="N144" s="481"/>
      <c r="O144" s="481"/>
      <c r="P144" s="481"/>
      <c r="Q144" s="481"/>
      <c r="R144" s="481"/>
      <c r="Y144" s="244"/>
      <c r="Z144" s="245" t="s">
        <v>784</v>
      </c>
      <c r="AA144" s="245" t="s">
        <v>572</v>
      </c>
      <c r="AB144" s="245">
        <v>10136165.4</v>
      </c>
      <c r="AC144" s="246">
        <v>0</v>
      </c>
      <c r="AD144" s="246">
        <f t="shared" si="2"/>
        <v>10136165.4</v>
      </c>
      <c r="AE144" s="254" t="e">
        <f>AD144/SUM(AD144:AD146)</f>
        <v>#REF!</v>
      </c>
      <c r="AF144" s="5" t="s">
        <v>1091</v>
      </c>
    </row>
    <row r="145" spans="1:32">
      <c r="B145" s="481"/>
      <c r="C145" s="481"/>
      <c r="D145" s="481"/>
      <c r="E145" s="481"/>
      <c r="F145" s="481"/>
      <c r="G145" s="481"/>
      <c r="H145" s="481"/>
      <c r="I145" s="481"/>
      <c r="J145" s="481"/>
      <c r="K145" s="481"/>
      <c r="L145" s="481"/>
      <c r="M145" s="481"/>
      <c r="N145" s="481"/>
      <c r="O145" s="481"/>
      <c r="P145" s="481"/>
      <c r="Q145" s="481"/>
      <c r="R145" s="481"/>
      <c r="Y145" s="247"/>
      <c r="Z145" s="224" t="s">
        <v>784</v>
      </c>
      <c r="AA145" s="224" t="s">
        <v>1031</v>
      </c>
      <c r="AB145" s="224">
        <v>1139298177.3</v>
      </c>
      <c r="AC145" s="177" t="e">
        <f>AB145*#REF!</f>
        <v>#REF!</v>
      </c>
      <c r="AD145" s="177" t="e">
        <f t="shared" si="2"/>
        <v>#REF!</v>
      </c>
      <c r="AE145" s="255" t="e">
        <f>AD145/SUM(AD144:AD146)</f>
        <v>#REF!</v>
      </c>
    </row>
    <row r="146" spans="1:32" ht="14.65" thickBot="1">
      <c r="B146" s="481"/>
      <c r="C146" s="481"/>
      <c r="D146" s="481"/>
      <c r="E146" s="481"/>
      <c r="F146" s="481"/>
      <c r="G146" s="481"/>
      <c r="H146" s="481"/>
      <c r="I146" s="481"/>
      <c r="J146" s="481"/>
      <c r="K146" s="481"/>
      <c r="L146" s="481"/>
      <c r="M146" s="481"/>
      <c r="N146" s="481"/>
      <c r="O146" s="481"/>
      <c r="P146" s="481"/>
      <c r="Q146" s="481"/>
      <c r="R146" s="481"/>
      <c r="Y146" s="248"/>
      <c r="Z146" s="249" t="s">
        <v>784</v>
      </c>
      <c r="AA146" s="249" t="s">
        <v>1032</v>
      </c>
      <c r="AB146" s="249">
        <v>55023000.399999999</v>
      </c>
      <c r="AC146" s="250">
        <v>0</v>
      </c>
      <c r="AD146" s="250">
        <f t="shared" si="2"/>
        <v>55023000.399999999</v>
      </c>
      <c r="AE146" s="256" t="e">
        <f>AD146/SUM(AD144:AD146)</f>
        <v>#REF!</v>
      </c>
      <c r="AF146" s="5" t="s">
        <v>1092</v>
      </c>
    </row>
    <row r="148" spans="1:32" ht="15.75">
      <c r="B148" s="429" t="s">
        <v>1115</v>
      </c>
      <c r="C148" s="293"/>
      <c r="D148" s="293"/>
      <c r="E148" s="293"/>
      <c r="F148" s="293"/>
      <c r="G148" s="293"/>
      <c r="H148" s="293"/>
      <c r="I148" s="293"/>
      <c r="J148" s="293"/>
      <c r="K148" s="293"/>
      <c r="L148" s="293"/>
      <c r="M148" s="293"/>
      <c r="N148" s="293"/>
      <c r="O148" s="293"/>
      <c r="P148" s="293"/>
      <c r="Q148" s="293"/>
      <c r="R148" s="293"/>
    </row>
    <row r="149" spans="1:32">
      <c r="B149" s="430" t="s">
        <v>1116</v>
      </c>
      <c r="C149" s="293"/>
      <c r="D149" s="293"/>
      <c r="E149" s="293"/>
      <c r="F149" s="293"/>
      <c r="G149" s="293"/>
      <c r="H149" s="293"/>
      <c r="I149" s="293"/>
      <c r="J149" s="293"/>
      <c r="K149" s="293"/>
      <c r="L149" s="293"/>
      <c r="M149" s="293"/>
      <c r="N149" s="293"/>
      <c r="O149" s="293"/>
      <c r="P149" s="293"/>
      <c r="Q149" s="293"/>
      <c r="R149" s="293"/>
      <c r="Y149" s="5" t="s">
        <v>1040</v>
      </c>
    </row>
    <row r="150" spans="1:32">
      <c r="B150" s="431" t="s">
        <v>1117</v>
      </c>
      <c r="C150" s="293"/>
      <c r="D150" s="293"/>
      <c r="E150" s="293"/>
      <c r="F150" s="293"/>
      <c r="G150" s="293"/>
      <c r="H150" s="293"/>
      <c r="I150" s="293"/>
      <c r="J150" s="293"/>
      <c r="K150" s="293"/>
      <c r="L150" s="293"/>
      <c r="M150" s="293"/>
      <c r="N150" s="293"/>
      <c r="O150" s="293"/>
      <c r="P150" s="293"/>
      <c r="Q150" s="293"/>
      <c r="R150" s="293"/>
      <c r="Y150" s="5" t="s">
        <v>1041</v>
      </c>
    </row>
    <row r="151" spans="1:32">
      <c r="B151" s="417"/>
      <c r="C151" s="293"/>
      <c r="D151" s="293"/>
      <c r="E151" s="293"/>
      <c r="F151" s="293"/>
      <c r="G151" s="293"/>
      <c r="H151" s="293"/>
      <c r="I151" s="293"/>
      <c r="J151" s="293"/>
      <c r="K151" s="293"/>
      <c r="L151" s="293"/>
      <c r="M151" s="293"/>
      <c r="N151" s="293"/>
      <c r="O151" s="293"/>
      <c r="P151" s="293"/>
      <c r="Q151" s="293"/>
      <c r="R151" s="293"/>
    </row>
    <row r="152" spans="1:32">
      <c r="B152" s="417"/>
      <c r="C152" s="293"/>
      <c r="D152" s="293"/>
      <c r="E152" s="293"/>
      <c r="F152" s="293"/>
      <c r="G152" s="293"/>
      <c r="H152" s="293"/>
      <c r="I152" s="293"/>
      <c r="J152" s="293"/>
      <c r="K152" s="293"/>
      <c r="L152" s="293"/>
      <c r="M152" s="293"/>
      <c r="N152" s="293"/>
      <c r="O152" s="293"/>
      <c r="P152" s="293"/>
      <c r="Q152" s="293"/>
      <c r="R152" s="293"/>
    </row>
    <row r="153" spans="1:32">
      <c r="B153" s="417"/>
      <c r="C153" s="293"/>
      <c r="D153" s="293"/>
      <c r="E153" s="293"/>
      <c r="F153" s="293"/>
      <c r="G153" s="293"/>
      <c r="H153" s="293"/>
      <c r="I153" s="293"/>
      <c r="J153" s="293"/>
      <c r="K153" s="293"/>
      <c r="L153" s="293"/>
      <c r="M153" s="293"/>
      <c r="N153" s="293"/>
      <c r="O153" s="293"/>
      <c r="P153" s="293"/>
      <c r="Q153" s="293"/>
      <c r="R153" s="293"/>
    </row>
    <row r="154" spans="1:32">
      <c r="B154" s="417"/>
      <c r="C154" s="293"/>
      <c r="D154" s="293"/>
      <c r="E154" s="293"/>
      <c r="F154" s="293"/>
      <c r="G154" s="293"/>
      <c r="H154" s="293"/>
      <c r="I154" s="293"/>
      <c r="J154" s="293"/>
      <c r="K154" s="293"/>
      <c r="L154" s="293"/>
      <c r="M154" s="293"/>
      <c r="N154" s="293"/>
      <c r="O154" s="293"/>
      <c r="P154" s="293"/>
      <c r="Q154" s="293"/>
      <c r="R154" s="293"/>
    </row>
    <row r="157" spans="1:32" s="196" customFormat="1" ht="15.75">
      <c r="A157" s="2" t="s">
        <v>1265</v>
      </c>
      <c r="B157" s="432"/>
      <c r="C157" s="381"/>
    </row>
    <row r="158" spans="1:32">
      <c r="A158" s="5" t="s">
        <v>1266</v>
      </c>
    </row>
    <row r="161" spans="2:40">
      <c r="C161" s="5" t="s">
        <v>1263</v>
      </c>
    </row>
    <row r="163" spans="2:40">
      <c r="C163" s="5">
        <v>2017</v>
      </c>
      <c r="D163" s="5">
        <v>2018</v>
      </c>
      <c r="E163" s="5">
        <v>2019</v>
      </c>
      <c r="F163" s="5">
        <v>2020</v>
      </c>
      <c r="G163" s="5">
        <v>2021</v>
      </c>
      <c r="H163" s="5">
        <v>2022</v>
      </c>
      <c r="I163" s="5">
        <v>2023</v>
      </c>
      <c r="J163" s="5">
        <v>2024</v>
      </c>
      <c r="K163" s="5">
        <v>2025</v>
      </c>
      <c r="L163" s="5">
        <v>2026</v>
      </c>
      <c r="M163" s="5">
        <v>2027</v>
      </c>
      <c r="N163" s="5">
        <v>2028</v>
      </c>
      <c r="O163" s="5">
        <v>2029</v>
      </c>
      <c r="P163" s="5">
        <v>2030</v>
      </c>
      <c r="Q163" s="5">
        <v>2031</v>
      </c>
      <c r="R163" s="5">
        <v>2032</v>
      </c>
      <c r="S163" s="5">
        <v>2033</v>
      </c>
      <c r="T163" s="5">
        <v>2034</v>
      </c>
      <c r="U163" s="5">
        <v>2035</v>
      </c>
      <c r="V163" s="5">
        <v>2036</v>
      </c>
      <c r="W163" s="5">
        <v>2037</v>
      </c>
      <c r="X163" s="5">
        <v>2038</v>
      </c>
      <c r="Y163" s="5">
        <v>2039</v>
      </c>
      <c r="Z163" s="5">
        <v>2040</v>
      </c>
      <c r="AA163" s="5">
        <v>2041</v>
      </c>
      <c r="AB163" s="5">
        <v>2042</v>
      </c>
      <c r="AC163" s="5">
        <v>2043</v>
      </c>
      <c r="AD163" s="5">
        <v>2044</v>
      </c>
      <c r="AE163" s="5">
        <v>2045</v>
      </c>
      <c r="AF163" s="5">
        <v>2046</v>
      </c>
      <c r="AG163" s="5">
        <v>2047</v>
      </c>
      <c r="AH163" s="5">
        <v>2048</v>
      </c>
      <c r="AI163" s="5">
        <v>2049</v>
      </c>
      <c r="AJ163" s="5">
        <v>2050</v>
      </c>
    </row>
    <row r="165" spans="2:40">
      <c r="B165" s="424" t="s">
        <v>813</v>
      </c>
      <c r="C165" s="456">
        <f>O131</f>
        <v>409.3</v>
      </c>
      <c r="D165" s="456">
        <f>TREND($O$125:$O$131,$A$125:$A$131,D163)</f>
        <v>414.67142857142971</v>
      </c>
      <c r="E165" s="456">
        <f t="shared" ref="E165:AJ165" si="3">TREND($O$125:$O$131,$A$125:$A$131,E163)</f>
        <v>426.7857142857174</v>
      </c>
      <c r="F165" s="456">
        <f t="shared" si="3"/>
        <v>438.90000000000146</v>
      </c>
      <c r="G165" s="456">
        <f t="shared" si="3"/>
        <v>451.01428571428914</v>
      </c>
      <c r="H165" s="456">
        <f t="shared" si="3"/>
        <v>463.1285714285732</v>
      </c>
      <c r="I165" s="456">
        <f t="shared" si="3"/>
        <v>475.24285714286088</v>
      </c>
      <c r="J165" s="456">
        <f t="shared" si="3"/>
        <v>487.35714285714494</v>
      </c>
      <c r="K165" s="456">
        <f t="shared" si="3"/>
        <v>499.47142857142899</v>
      </c>
      <c r="L165" s="456">
        <f t="shared" si="3"/>
        <v>511.58571428571668</v>
      </c>
      <c r="M165" s="456">
        <f t="shared" si="3"/>
        <v>523.70000000000073</v>
      </c>
      <c r="N165" s="456">
        <f t="shared" si="3"/>
        <v>535.81428571428842</v>
      </c>
      <c r="O165" s="456">
        <f t="shared" si="3"/>
        <v>547.92857142857247</v>
      </c>
      <c r="P165" s="456">
        <f t="shared" si="3"/>
        <v>560.04285714286016</v>
      </c>
      <c r="Q165" s="456">
        <f t="shared" si="3"/>
        <v>572.15714285714421</v>
      </c>
      <c r="R165" s="456">
        <f t="shared" si="3"/>
        <v>584.2714285714319</v>
      </c>
      <c r="S165" s="456">
        <f t="shared" si="3"/>
        <v>596.38571428571595</v>
      </c>
      <c r="T165" s="456">
        <f t="shared" si="3"/>
        <v>608.50000000000364</v>
      </c>
      <c r="U165" s="456">
        <f t="shared" si="3"/>
        <v>620.61428571428769</v>
      </c>
      <c r="V165" s="456">
        <f t="shared" si="3"/>
        <v>632.72857142857538</v>
      </c>
      <c r="W165" s="456">
        <f t="shared" si="3"/>
        <v>644.84285714285943</v>
      </c>
      <c r="X165" s="456">
        <f t="shared" si="3"/>
        <v>656.95714285714348</v>
      </c>
      <c r="Y165" s="456">
        <f t="shared" si="3"/>
        <v>669.07142857143117</v>
      </c>
      <c r="Z165" s="456">
        <f t="shared" si="3"/>
        <v>681.18571428571522</v>
      </c>
      <c r="AA165" s="456">
        <f t="shared" si="3"/>
        <v>693.30000000000291</v>
      </c>
      <c r="AB165" s="456">
        <f t="shared" si="3"/>
        <v>705.41428571428696</v>
      </c>
      <c r="AC165" s="456">
        <f t="shared" si="3"/>
        <v>717.52857142857465</v>
      </c>
      <c r="AD165" s="456">
        <f t="shared" si="3"/>
        <v>729.6428571428587</v>
      </c>
      <c r="AE165" s="456">
        <f t="shared" si="3"/>
        <v>741.75714285714639</v>
      </c>
      <c r="AF165" s="456">
        <f t="shared" si="3"/>
        <v>753.87142857143044</v>
      </c>
      <c r="AG165" s="456">
        <f t="shared" si="3"/>
        <v>765.98571428571813</v>
      </c>
      <c r="AH165" s="456">
        <f t="shared" si="3"/>
        <v>778.10000000000218</v>
      </c>
      <c r="AI165" s="456">
        <f t="shared" si="3"/>
        <v>790.21428571428623</v>
      </c>
      <c r="AJ165" s="456">
        <f t="shared" si="3"/>
        <v>802.32857142857392</v>
      </c>
    </row>
    <row r="166" spans="2:40" s="415" customFormat="1">
      <c r="B166" s="436" t="s">
        <v>1289</v>
      </c>
      <c r="C166" s="311">
        <v>409.3</v>
      </c>
      <c r="D166" s="439">
        <f>C166+TREND(Data!$C$141:$AJ$141,Data!$C$1:$AJ$1,'TX SEDS'!D163)</f>
        <v>412.69483431825057</v>
      </c>
      <c r="E166" s="439">
        <f>D166+TREND(Data!$C$141:$AJ$141,Data!$C$1:$AJ$1,'TX SEDS'!E163)</f>
        <v>416.12007871664247</v>
      </c>
      <c r="F166" s="439">
        <f>E166+TREND(Data!$C$141:$AJ$141,Data!$C$1:$AJ$1,'TX SEDS'!F163)</f>
        <v>419.5757331951757</v>
      </c>
      <c r="G166" s="439">
        <f>F166+TREND(Data!$C$141:$AJ$141,Data!$C$1:$AJ$1,'TX SEDS'!G163)</f>
        <v>423.06179775385027</v>
      </c>
      <c r="H166" s="439">
        <f>G166+TREND(Data!$C$141:$AJ$141,Data!$C$1:$AJ$1,'TX SEDS'!H163)</f>
        <v>426.57827239266618</v>
      </c>
      <c r="I166" s="439">
        <f>H166+TREND(Data!$C$141:$AJ$141,Data!$C$1:$AJ$1,'TX SEDS'!I163)</f>
        <v>430.12515711162337</v>
      </c>
      <c r="J166" s="439">
        <f>I166+TREND(Data!$C$141:$AJ$141,Data!$C$1:$AJ$1,'TX SEDS'!J163)</f>
        <v>433.70245191072189</v>
      </c>
      <c r="K166" s="439">
        <f>J166+TREND(Data!$C$141:$AJ$141,Data!$C$1:$AJ$1,'TX SEDS'!K163)</f>
        <v>437.31015678996175</v>
      </c>
      <c r="L166" s="439">
        <f>K166+TREND(Data!$C$141:$AJ$141,Data!$C$1:$AJ$1,'TX SEDS'!L163)</f>
        <v>440.94827174934295</v>
      </c>
      <c r="M166" s="439">
        <f>L166+TREND(Data!$C$141:$AJ$141,Data!$C$1:$AJ$1,'TX SEDS'!M163)</f>
        <v>444.61679678886549</v>
      </c>
      <c r="N166" s="439">
        <f>M166+TREND(Data!$C$141:$AJ$141,Data!$C$1:$AJ$1,'TX SEDS'!N163)</f>
        <v>448.31573190852936</v>
      </c>
      <c r="O166" s="439">
        <f>N166+TREND(Data!$C$141:$AJ$141,Data!$C$1:$AJ$1,'TX SEDS'!O163)</f>
        <v>452.04507710833457</v>
      </c>
      <c r="P166" s="439">
        <f>O166+TREND(Data!$C$141:$AJ$141,Data!$C$1:$AJ$1,'TX SEDS'!P163)</f>
        <v>455.80483238828106</v>
      </c>
      <c r="Q166" s="439">
        <f>P166+TREND(Data!$C$141:$AJ$141,Data!$C$1:$AJ$1,'TX SEDS'!Q163)</f>
        <v>459.59499774836888</v>
      </c>
      <c r="R166" s="439">
        <f>Q166+TREND(Data!$C$141:$AJ$141,Data!$C$1:$AJ$1,'TX SEDS'!R163)</f>
        <v>463.41557318859805</v>
      </c>
      <c r="S166" s="439">
        <f>R166+TREND(Data!$C$141:$AJ$141,Data!$C$1:$AJ$1,'TX SEDS'!S163)</f>
        <v>467.26655870896855</v>
      </c>
      <c r="T166" s="439">
        <f>S166+TREND(Data!$C$141:$AJ$141,Data!$C$1:$AJ$1,'TX SEDS'!T163)</f>
        <v>471.14795430948038</v>
      </c>
      <c r="U166" s="439">
        <f>T166+TREND(Data!$C$141:$AJ$141,Data!$C$1:$AJ$1,'TX SEDS'!U163)</f>
        <v>475.05975999013356</v>
      </c>
      <c r="V166" s="439">
        <f>U166+TREND(Data!$C$141:$AJ$141,Data!$C$1:$AJ$1,'TX SEDS'!V163)</f>
        <v>479.00197575092807</v>
      </c>
      <c r="W166" s="439">
        <f>V166+TREND(Data!$C$141:$AJ$141,Data!$C$1:$AJ$1,'TX SEDS'!W163)</f>
        <v>482.97460159186392</v>
      </c>
      <c r="X166" s="439">
        <f>W166+TREND(Data!$C$141:$AJ$141,Data!$C$1:$AJ$1,'TX SEDS'!X163)</f>
        <v>486.9776375129411</v>
      </c>
      <c r="Y166" s="439">
        <f>X166+TREND(Data!$C$141:$AJ$141,Data!$C$1:$AJ$1,'TX SEDS'!Y163)</f>
        <v>491.01108351415957</v>
      </c>
      <c r="Z166" s="439">
        <f>Y166+TREND(Data!$C$141:$AJ$141,Data!$C$1:$AJ$1,'TX SEDS'!Z163)</f>
        <v>495.07493959551937</v>
      </c>
      <c r="AA166" s="439">
        <f>Z166+TREND(Data!$C$141:$AJ$141,Data!$C$1:$AJ$1,'TX SEDS'!AA163)</f>
        <v>499.16920575702051</v>
      </c>
      <c r="AB166" s="439">
        <f>AA166+TREND(Data!$C$141:$AJ$141,Data!$C$1:$AJ$1,'TX SEDS'!AB163)</f>
        <v>503.29388199866298</v>
      </c>
      <c r="AC166" s="439">
        <f>AB166+TREND(Data!$C$141:$AJ$141,Data!$C$1:$AJ$1,'TX SEDS'!AC163)</f>
        <v>507.4489683204468</v>
      </c>
      <c r="AD166" s="439">
        <f>AC166+TREND(Data!$C$141:$AJ$141,Data!$C$1:$AJ$1,'TX SEDS'!AD163)</f>
        <v>511.63446472237194</v>
      </c>
      <c r="AE166" s="439">
        <f>AD166+TREND(Data!$C$141:$AJ$141,Data!$C$1:$AJ$1,'TX SEDS'!AE163)</f>
        <v>515.85037120443837</v>
      </c>
      <c r="AF166" s="439">
        <f>AE166+TREND(Data!$C$141:$AJ$141,Data!$C$1:$AJ$1,'TX SEDS'!AF163)</f>
        <v>520.09668776664614</v>
      </c>
      <c r="AG166" s="439">
        <f>AF166+TREND(Data!$C$141:$AJ$141,Data!$C$1:$AJ$1,'TX SEDS'!AG163)</f>
        <v>524.37341440899525</v>
      </c>
      <c r="AH166" s="439">
        <f>AG166+TREND(Data!$C$141:$AJ$141,Data!$C$1:$AJ$1,'TX SEDS'!AH163)</f>
        <v>528.68055113148569</v>
      </c>
      <c r="AI166" s="439">
        <f>AH166+TREND(Data!$C$141:$AJ$141,Data!$C$1:$AJ$1,'TX SEDS'!AI163)</f>
        <v>533.01809793411746</v>
      </c>
      <c r="AJ166" s="439">
        <f>AI166+TREND(Data!$C$141:$AJ$141,Data!$C$1:$AJ$1,'TX SEDS'!AJ163)</f>
        <v>537.38605481689058</v>
      </c>
    </row>
    <row r="167" spans="2:40">
      <c r="B167" s="457" t="s">
        <v>1286</v>
      </c>
      <c r="C167" s="104">
        <v>409.3</v>
      </c>
      <c r="D167" s="456">
        <f>C165+((AJ167-C165)/(2050-2017))</f>
        <v>396.89696969696973</v>
      </c>
      <c r="E167" s="456">
        <f>D167+(($AJ$167-$C$165)/(2050-2017))</f>
        <v>384.49393939393946</v>
      </c>
      <c r="F167" s="456">
        <f t="shared" ref="F167:AI167" si="4">E167+(($AJ$167-$C$165)/(2050-2017))</f>
        <v>372.09090909090918</v>
      </c>
      <c r="G167" s="456">
        <f t="shared" si="4"/>
        <v>359.6878787878789</v>
      </c>
      <c r="H167" s="456">
        <f t="shared" si="4"/>
        <v>347.28484848484862</v>
      </c>
      <c r="I167" s="456">
        <f t="shared" si="4"/>
        <v>334.88181818181835</v>
      </c>
      <c r="J167" s="456">
        <f t="shared" si="4"/>
        <v>322.47878787878807</v>
      </c>
      <c r="K167" s="456">
        <f t="shared" si="4"/>
        <v>310.07575757575779</v>
      </c>
      <c r="L167" s="456">
        <f t="shared" si="4"/>
        <v>297.67272727272751</v>
      </c>
      <c r="M167" s="456">
        <f t="shared" si="4"/>
        <v>285.26969696969724</v>
      </c>
      <c r="N167" s="456">
        <f t="shared" si="4"/>
        <v>272.86666666666696</v>
      </c>
      <c r="O167" s="456">
        <f t="shared" si="4"/>
        <v>260.46363636363668</v>
      </c>
      <c r="P167" s="456">
        <f t="shared" si="4"/>
        <v>248.06060606060637</v>
      </c>
      <c r="Q167" s="456">
        <f t="shared" si="4"/>
        <v>235.65757575757607</v>
      </c>
      <c r="R167" s="456">
        <f t="shared" si="4"/>
        <v>223.25454545454576</v>
      </c>
      <c r="S167" s="456">
        <f t="shared" si="4"/>
        <v>210.85151515151546</v>
      </c>
      <c r="T167" s="456">
        <f t="shared" si="4"/>
        <v>198.44848484848515</v>
      </c>
      <c r="U167" s="456">
        <f t="shared" si="4"/>
        <v>186.04545454545485</v>
      </c>
      <c r="V167" s="456">
        <f t="shared" si="4"/>
        <v>173.64242424242454</v>
      </c>
      <c r="W167" s="456">
        <f t="shared" si="4"/>
        <v>161.23939393939423</v>
      </c>
      <c r="X167" s="456">
        <f t="shared" si="4"/>
        <v>148.83636363636393</v>
      </c>
      <c r="Y167" s="456">
        <f t="shared" si="4"/>
        <v>136.43333333333362</v>
      </c>
      <c r="Z167" s="456">
        <f t="shared" si="4"/>
        <v>124.03030303030332</v>
      </c>
      <c r="AA167" s="456">
        <f t="shared" si="4"/>
        <v>111.62727272727301</v>
      </c>
      <c r="AB167" s="456">
        <f t="shared" si="4"/>
        <v>99.224242424242703</v>
      </c>
      <c r="AC167" s="456">
        <f t="shared" si="4"/>
        <v>86.821212121212398</v>
      </c>
      <c r="AD167" s="456">
        <f t="shared" si="4"/>
        <v>74.418181818182092</v>
      </c>
      <c r="AE167" s="456">
        <f t="shared" si="4"/>
        <v>62.015151515151786</v>
      </c>
      <c r="AF167" s="456">
        <f t="shared" si="4"/>
        <v>49.61212121212148</v>
      </c>
      <c r="AG167" s="456">
        <f t="shared" si="4"/>
        <v>37.209090909091174</v>
      </c>
      <c r="AH167" s="456">
        <f t="shared" si="4"/>
        <v>24.806060606060868</v>
      </c>
      <c r="AI167" s="456">
        <f t="shared" si="4"/>
        <v>12.403030303030564</v>
      </c>
      <c r="AJ167" s="104">
        <f>C165*AM247</f>
        <v>0</v>
      </c>
      <c r="AK167" s="456">
        <f>AJ167*293071070.172222/1000000000</f>
        <v>0</v>
      </c>
      <c r="AL167" s="104" t="s">
        <v>1288</v>
      </c>
    </row>
    <row r="168" spans="2:40">
      <c r="B168" s="433" t="s">
        <v>1287</v>
      </c>
      <c r="C168" s="5">
        <v>409.3</v>
      </c>
      <c r="D168" s="5">
        <f>C165+((($AJ$168-$C$165)/(2050-2017))*(D163-C163))</f>
        <v>413.43548940910529</v>
      </c>
      <c r="E168" s="5">
        <f>D168+(($AJ$168-$C$165)/(2050-2017))</f>
        <v>417.57097881821056</v>
      </c>
      <c r="F168" s="5">
        <f t="shared" ref="F168:AH168" si="5">E168+(($AJ$168-$C$165)/(2050-2017))</f>
        <v>421.70646822731584</v>
      </c>
      <c r="G168" s="5">
        <f t="shared" si="5"/>
        <v>425.84195763642111</v>
      </c>
      <c r="H168" s="5">
        <f t="shared" si="5"/>
        <v>429.97744704552639</v>
      </c>
      <c r="I168" s="5">
        <f t="shared" si="5"/>
        <v>434.11293645463167</v>
      </c>
      <c r="J168" s="5">
        <f t="shared" si="5"/>
        <v>438.24842586373694</v>
      </c>
      <c r="K168" s="5">
        <f t="shared" si="5"/>
        <v>442.38391527284222</v>
      </c>
      <c r="L168" s="5">
        <f t="shared" si="5"/>
        <v>446.51940468194749</v>
      </c>
      <c r="M168" s="5">
        <f t="shared" si="5"/>
        <v>450.65489409105277</v>
      </c>
      <c r="N168" s="5">
        <f t="shared" si="5"/>
        <v>454.79038350015804</v>
      </c>
      <c r="O168" s="5">
        <f t="shared" si="5"/>
        <v>458.92587290926332</v>
      </c>
      <c r="P168" s="5">
        <f t="shared" si="5"/>
        <v>463.06136231836859</v>
      </c>
      <c r="Q168" s="5">
        <f t="shared" si="5"/>
        <v>467.19685172747387</v>
      </c>
      <c r="R168" s="5">
        <f t="shared" si="5"/>
        <v>471.33234113657915</v>
      </c>
      <c r="S168" s="5">
        <f t="shared" si="5"/>
        <v>475.46783054568442</v>
      </c>
      <c r="T168" s="5">
        <f t="shared" si="5"/>
        <v>479.6033199547897</v>
      </c>
      <c r="U168" s="5">
        <f t="shared" si="5"/>
        <v>483.73880936389497</v>
      </c>
      <c r="V168" s="5">
        <f t="shared" si="5"/>
        <v>487.87429877300025</v>
      </c>
      <c r="W168" s="5">
        <f t="shared" si="5"/>
        <v>492.00978818210552</v>
      </c>
      <c r="X168" s="5">
        <f t="shared" si="5"/>
        <v>496.1452775912108</v>
      </c>
      <c r="Y168" s="5">
        <f t="shared" si="5"/>
        <v>500.28076700031608</v>
      </c>
      <c r="Z168" s="5">
        <f t="shared" si="5"/>
        <v>504.41625640942135</v>
      </c>
      <c r="AA168" s="5">
        <f t="shared" si="5"/>
        <v>508.55174581852663</v>
      </c>
      <c r="AB168" s="5">
        <f t="shared" si="5"/>
        <v>512.68723522763196</v>
      </c>
      <c r="AC168" s="5">
        <f t="shared" si="5"/>
        <v>516.82272463673723</v>
      </c>
      <c r="AD168" s="5">
        <f t="shared" si="5"/>
        <v>520.95821404584251</v>
      </c>
      <c r="AE168" s="5">
        <f t="shared" si="5"/>
        <v>525.09370345494779</v>
      </c>
      <c r="AF168" s="5">
        <f t="shared" si="5"/>
        <v>529.22919286405306</v>
      </c>
      <c r="AG168" s="5">
        <f t="shared" si="5"/>
        <v>533.36468227315834</v>
      </c>
      <c r="AH168" s="5">
        <f t="shared" si="5"/>
        <v>537.50017168226361</v>
      </c>
      <c r="AI168" s="5">
        <f>AH168+(($AJ$168-$C$165)/(2050-2017))</f>
        <v>541.63566109136889</v>
      </c>
      <c r="AJ168" s="5">
        <f>'TX SEDS'!C165*Data!AJ141/Data!C141</f>
        <v>545.77115050047462</v>
      </c>
    </row>
    <row r="169" spans="2:40">
      <c r="B169" s="433"/>
    </row>
    <row r="170" spans="2:40">
      <c r="B170" s="433"/>
    </row>
    <row r="172" spans="2:40">
      <c r="B172" s="424" t="s">
        <v>796</v>
      </c>
      <c r="C172" s="456">
        <f>B131</f>
        <v>12.5</v>
      </c>
      <c r="D172" s="456">
        <f>C172*Data!D138/Data!C138</f>
        <v>12.542397296609472</v>
      </c>
      <c r="E172" s="456">
        <f>D172*Data!E138/Data!D138</f>
        <v>12.702319675392408</v>
      </c>
      <c r="F172" s="456">
        <f>E172*Data!F138/Data!E138</f>
        <v>12.401204800113268</v>
      </c>
      <c r="G172" s="456">
        <f>F172*Data!G138/Data!F138</f>
        <v>12.209627266715177</v>
      </c>
      <c r="H172" s="456">
        <f>G172*Data!H138/Data!G138</f>
        <v>12.204004164232231</v>
      </c>
      <c r="I172" s="456">
        <f>H172*Data!I138/Data!H138</f>
        <v>12.191413791342125</v>
      </c>
      <c r="J172" s="456">
        <f>I172*Data!J138/Data!I138</f>
        <v>12.273329624923385</v>
      </c>
      <c r="K172" s="456">
        <f>J172*Data!K138/Data!J138</f>
        <v>12.354909416523588</v>
      </c>
      <c r="L172" s="456">
        <f>K172*Data!L138/Data!K138</f>
        <v>12.369964097274746</v>
      </c>
      <c r="M172" s="456">
        <f>L172*Data!M138/Data!L138</f>
        <v>12.325774576766328</v>
      </c>
      <c r="N172" s="456">
        <f>M172*Data!N138/Data!M138</f>
        <v>12.3417813764638</v>
      </c>
      <c r="O172" s="456">
        <f>N172*Data!O138/Data!N138</f>
        <v>12.293010483613697</v>
      </c>
      <c r="P172" s="456">
        <f>O172*Data!P138/Data!O138</f>
        <v>12.244654042540226</v>
      </c>
      <c r="Q172" s="456">
        <f>P172*Data!Q138/Data!P138</f>
        <v>12.1986947009316</v>
      </c>
      <c r="R172" s="456">
        <f>Q172*Data!R138/Data!Q138</f>
        <v>12.13657174003434</v>
      </c>
      <c r="S172" s="456">
        <f>R172*Data!S138/Data!R138</f>
        <v>12.086770318442342</v>
      </c>
      <c r="T172" s="456">
        <f>S172*Data!T138/Data!S138</f>
        <v>12.057736291279397</v>
      </c>
      <c r="U172" s="456">
        <f>T172*Data!U138/Data!T138</f>
        <v>11.987268287852665</v>
      </c>
      <c r="V172" s="456">
        <f>U172*Data!V138/Data!U138</f>
        <v>11.975002755544244</v>
      </c>
      <c r="W172" s="456">
        <f>V172*Data!W138/Data!V138</f>
        <v>12.01055599713961</v>
      </c>
      <c r="X172" s="456">
        <f>W172*Data!X138/Data!W138</f>
        <v>12.009178225017296</v>
      </c>
      <c r="Y172" s="456">
        <f>X172*Data!Y138/Data!X138</f>
        <v>11.971664738532455</v>
      </c>
      <c r="Z172" s="456">
        <f>Y172*Data!Z138/Data!Y138</f>
        <v>11.911390008530985</v>
      </c>
      <c r="AA172" s="456">
        <f>Z172*Data!AA138/Data!Z138</f>
        <v>11.887441416681302</v>
      </c>
      <c r="AB172" s="456">
        <f>AA172*Data!AB138/Data!AA138</f>
        <v>11.824803191413098</v>
      </c>
      <c r="AC172" s="456">
        <f>AB172*Data!AC138/Data!AB138</f>
        <v>11.786035148198993</v>
      </c>
      <c r="AD172" s="456">
        <f>AC172*Data!AD138/Data!AC138</f>
        <v>11.740770293351206</v>
      </c>
      <c r="AE172" s="456">
        <f>AD172*Data!AE138/Data!AD138</f>
        <v>11.737253053949523</v>
      </c>
      <c r="AF172" s="456">
        <f>AE172*Data!AF138/Data!AE138</f>
        <v>11.682982274009523</v>
      </c>
      <c r="AG172" s="456">
        <f>AF172*Data!AG138/Data!AF138</f>
        <v>11.66593374417079</v>
      </c>
      <c r="AH172" s="456">
        <f>AG172*Data!AH138/Data!AG138</f>
        <v>11.636093216253318</v>
      </c>
      <c r="AI172" s="456">
        <f>AH172*Data!AI138/Data!AH138</f>
        <v>11.611517346039003</v>
      </c>
      <c r="AJ172" s="456">
        <f>AI172*Data!AJ138/Data!AI138</f>
        <v>11.584331549771848</v>
      </c>
      <c r="AM172" s="5" t="s">
        <v>1346</v>
      </c>
    </row>
    <row r="173" spans="2:40">
      <c r="B173" s="433" t="s">
        <v>1287</v>
      </c>
      <c r="C173" s="5">
        <v>12.5</v>
      </c>
      <c r="D173" s="319">
        <f>C173+(($AJ$173-$C$173)/(2050-2017))</f>
        <v>12.472252471205207</v>
      </c>
      <c r="E173" s="319">
        <f t="shared" ref="E173:AI173" si="6">D173+(($AJ$173-$C$173)/(2050-2017))</f>
        <v>12.444504942410415</v>
      </c>
      <c r="F173" s="319">
        <f t="shared" si="6"/>
        <v>12.416757413615622</v>
      </c>
      <c r="G173" s="319">
        <f t="shared" si="6"/>
        <v>12.38900988482083</v>
      </c>
      <c r="H173" s="319">
        <f t="shared" si="6"/>
        <v>12.361262356026037</v>
      </c>
      <c r="I173" s="319">
        <f t="shared" si="6"/>
        <v>12.333514827231244</v>
      </c>
      <c r="J173" s="319">
        <f t="shared" si="6"/>
        <v>12.305767298436452</v>
      </c>
      <c r="K173" s="319">
        <f t="shared" si="6"/>
        <v>12.278019769641659</v>
      </c>
      <c r="L173" s="319">
        <f t="shared" si="6"/>
        <v>12.250272240846867</v>
      </c>
      <c r="M173" s="319">
        <f t="shared" si="6"/>
        <v>12.222524712052074</v>
      </c>
      <c r="N173" s="319">
        <f t="shared" si="6"/>
        <v>12.194777183257282</v>
      </c>
      <c r="O173" s="319">
        <f t="shared" si="6"/>
        <v>12.167029654462489</v>
      </c>
      <c r="P173" s="319">
        <f t="shared" si="6"/>
        <v>12.139282125667696</v>
      </c>
      <c r="Q173" s="319">
        <f t="shared" si="6"/>
        <v>12.111534596872904</v>
      </c>
      <c r="R173" s="319">
        <f t="shared" si="6"/>
        <v>12.083787068078111</v>
      </c>
      <c r="S173" s="319">
        <f t="shared" si="6"/>
        <v>12.056039539283319</v>
      </c>
      <c r="T173" s="319">
        <f t="shared" si="6"/>
        <v>12.028292010488526</v>
      </c>
      <c r="U173" s="319">
        <f t="shared" si="6"/>
        <v>12.000544481693733</v>
      </c>
      <c r="V173" s="319">
        <f t="shared" si="6"/>
        <v>11.972796952898941</v>
      </c>
      <c r="W173" s="319">
        <f t="shared" si="6"/>
        <v>11.945049424104148</v>
      </c>
      <c r="X173" s="319">
        <f t="shared" si="6"/>
        <v>11.917301895309356</v>
      </c>
      <c r="Y173" s="319">
        <f t="shared" si="6"/>
        <v>11.889554366514563</v>
      </c>
      <c r="Z173" s="319">
        <f t="shared" si="6"/>
        <v>11.861806837719771</v>
      </c>
      <c r="AA173" s="319">
        <f t="shared" si="6"/>
        <v>11.834059308924978</v>
      </c>
      <c r="AB173" s="319">
        <f t="shared" si="6"/>
        <v>11.806311780130185</v>
      </c>
      <c r="AC173" s="319">
        <f t="shared" si="6"/>
        <v>11.778564251335393</v>
      </c>
      <c r="AD173" s="319">
        <f t="shared" si="6"/>
        <v>11.7508167225406</v>
      </c>
      <c r="AE173" s="319">
        <f t="shared" si="6"/>
        <v>11.723069193745808</v>
      </c>
      <c r="AF173" s="319">
        <f t="shared" si="6"/>
        <v>11.695321664951015</v>
      </c>
      <c r="AG173" s="319">
        <f t="shared" si="6"/>
        <v>11.667574136156222</v>
      </c>
      <c r="AH173" s="319">
        <f t="shared" si="6"/>
        <v>11.63982660736143</v>
      </c>
      <c r="AI173" s="319">
        <f t="shared" si="6"/>
        <v>11.612079078566637</v>
      </c>
      <c r="AJ173" s="319">
        <f>C173*Data!AJ138/Data!C138</f>
        <v>11.584331549771852</v>
      </c>
    </row>
    <row r="174" spans="2:40">
      <c r="AM174" s="5">
        <f>Data!AJ131/Data!C131</f>
        <v>1.2752031090351204</v>
      </c>
      <c r="AN174" s="5" t="s">
        <v>1340</v>
      </c>
    </row>
    <row r="175" spans="2:40">
      <c r="B175" s="424" t="s">
        <v>1010</v>
      </c>
      <c r="C175" s="456">
        <f>C131</f>
        <v>2153.1999999999998</v>
      </c>
      <c r="D175" s="456">
        <f t="shared" ref="D175:AJ175" si="7">TREND($C$125:$C$131,$A$125:$A$131,D163)</f>
        <v>2236.414285714287</v>
      </c>
      <c r="E175" s="456">
        <f t="shared" si="7"/>
        <v>2289.317857142858</v>
      </c>
      <c r="F175" s="456">
        <f t="shared" si="7"/>
        <v>2342.221428571429</v>
      </c>
      <c r="G175" s="456">
        <f t="shared" si="7"/>
        <v>2395.125</v>
      </c>
      <c r="H175" s="456">
        <f t="shared" si="7"/>
        <v>2448.028571428571</v>
      </c>
      <c r="I175" s="456">
        <f t="shared" si="7"/>
        <v>2500.932142857142</v>
      </c>
      <c r="J175" s="456">
        <f t="shared" si="7"/>
        <v>2553.835714285713</v>
      </c>
      <c r="K175" s="456">
        <f t="shared" si="7"/>
        <v>2606.7392857142841</v>
      </c>
      <c r="L175" s="456">
        <f t="shared" si="7"/>
        <v>2659.6428571428551</v>
      </c>
      <c r="M175" s="456">
        <f t="shared" si="7"/>
        <v>2712.5464285714261</v>
      </c>
      <c r="N175" s="456">
        <f t="shared" si="7"/>
        <v>2765.4499999999971</v>
      </c>
      <c r="O175" s="456">
        <f t="shared" si="7"/>
        <v>2818.3535714285681</v>
      </c>
      <c r="P175" s="456">
        <f t="shared" si="7"/>
        <v>2871.2571428571391</v>
      </c>
      <c r="Q175" s="456">
        <f t="shared" si="7"/>
        <v>2924.1607142857247</v>
      </c>
      <c r="R175" s="456">
        <f t="shared" si="7"/>
        <v>2977.0642857142957</v>
      </c>
      <c r="S175" s="456">
        <f t="shared" si="7"/>
        <v>3029.9678571428667</v>
      </c>
      <c r="T175" s="456">
        <f t="shared" si="7"/>
        <v>3082.8714285714377</v>
      </c>
      <c r="U175" s="456">
        <f t="shared" si="7"/>
        <v>3135.7750000000087</v>
      </c>
      <c r="V175" s="456">
        <f t="shared" si="7"/>
        <v>3188.6785714285797</v>
      </c>
      <c r="W175" s="456">
        <f t="shared" si="7"/>
        <v>3241.5821428571508</v>
      </c>
      <c r="X175" s="456">
        <f t="shared" si="7"/>
        <v>3294.4857142857218</v>
      </c>
      <c r="Y175" s="456">
        <f t="shared" si="7"/>
        <v>3347.3892857142928</v>
      </c>
      <c r="Z175" s="456">
        <f t="shared" si="7"/>
        <v>3400.2928571428638</v>
      </c>
      <c r="AA175" s="456">
        <f t="shared" si="7"/>
        <v>3453.1964285714348</v>
      </c>
      <c r="AB175" s="456">
        <f t="shared" si="7"/>
        <v>3506.1000000000058</v>
      </c>
      <c r="AC175" s="456">
        <f t="shared" si="7"/>
        <v>3559.0035714285768</v>
      </c>
      <c r="AD175" s="456">
        <f t="shared" si="7"/>
        <v>3611.9071428571478</v>
      </c>
      <c r="AE175" s="456">
        <f t="shared" si="7"/>
        <v>3664.8107142857189</v>
      </c>
      <c r="AF175" s="456">
        <f t="shared" si="7"/>
        <v>3717.7142857142899</v>
      </c>
      <c r="AG175" s="456">
        <f t="shared" si="7"/>
        <v>3770.6178571428609</v>
      </c>
      <c r="AH175" s="456">
        <f t="shared" si="7"/>
        <v>3823.5214285714319</v>
      </c>
      <c r="AI175" s="456">
        <f t="shared" si="7"/>
        <v>3876.4250000000029</v>
      </c>
      <c r="AJ175" s="456">
        <f t="shared" si="7"/>
        <v>3929.3285714285739</v>
      </c>
      <c r="AM175" s="5">
        <f>Data!AJ132/Data!C132</f>
        <v>1.3891368038740921</v>
      </c>
      <c r="AN175" s="469" t="s">
        <v>1341</v>
      </c>
    </row>
    <row r="176" spans="2:40" s="415" customFormat="1">
      <c r="B176" s="436" t="s">
        <v>1262</v>
      </c>
      <c r="C176" s="456">
        <v>2153.1999999999998</v>
      </c>
      <c r="D176" s="437">
        <f>C175*Data!D135/Data!C135</f>
        <v>2261.5169174139078</v>
      </c>
      <c r="E176" s="437">
        <f>D175*Data!E135/Data!D135</f>
        <v>2273.8510819511175</v>
      </c>
      <c r="F176" s="437">
        <f>E175*Data!F135/Data!E135</f>
        <v>2367.7397687751341</v>
      </c>
      <c r="G176" s="437">
        <f>F175*Data!G135/Data!F135</f>
        <v>2393.1679579566626</v>
      </c>
      <c r="H176" s="437">
        <f>G175*Data!H135/Data!G135</f>
        <v>2436.5996737863347</v>
      </c>
      <c r="I176" s="437">
        <f>H175*Data!I135/Data!H135</f>
        <v>2488.9860900757585</v>
      </c>
      <c r="J176" s="437">
        <f>I175*Data!J135/Data!I135</f>
        <v>2541.0394472483667</v>
      </c>
      <c r="K176" s="437">
        <f>J175*Data!K135/Data!J135</f>
        <v>2580.7043075461029</v>
      </c>
      <c r="L176" s="437">
        <f>K175*Data!L135/Data!K135</f>
        <v>2642.7184365227426</v>
      </c>
      <c r="M176" s="437">
        <f>L175*Data!M135/Data!L135</f>
        <v>2678.7992318451197</v>
      </c>
      <c r="N176" s="437">
        <f>M175*Data!N135/Data!M135</f>
        <v>2742.5211970036257</v>
      </c>
      <c r="O176" s="437">
        <f>N175*Data!O135/Data!N135</f>
        <v>2775.1506151618082</v>
      </c>
      <c r="P176" s="437">
        <f>O175*Data!P135/Data!O135</f>
        <v>2828.7990509366641</v>
      </c>
      <c r="Q176" s="437">
        <f>P175*Data!Q135/Data!P135</f>
        <v>2881.6568985023282</v>
      </c>
      <c r="R176" s="437">
        <f>Q175*Data!R135/Data!Q135</f>
        <v>2933.5758337744783</v>
      </c>
      <c r="S176" s="437">
        <f>R175*Data!S135/Data!R135</f>
        <v>2978.9487342544671</v>
      </c>
      <c r="T176" s="437">
        <f>S175*Data!T135/Data!S135</f>
        <v>3038.6993885134493</v>
      </c>
      <c r="U176" s="437">
        <f>T175*Data!U135/Data!T135</f>
        <v>3097.35916745653</v>
      </c>
      <c r="V176" s="437">
        <f>U175*Data!V135/Data!U135</f>
        <v>3154.1293696763096</v>
      </c>
      <c r="W176" s="437">
        <f>V175*Data!W135/Data!V135</f>
        <v>3200.5386825284627</v>
      </c>
      <c r="X176" s="437">
        <f>W175*Data!X135/Data!W135</f>
        <v>3268.5191809734815</v>
      </c>
      <c r="Y176" s="437">
        <f>X175*Data!Y135/Data!X135</f>
        <v>3311.0285283616395</v>
      </c>
      <c r="Z176" s="437">
        <f>Y175*Data!Z135/Data!Y135</f>
        <v>3365.9842845653229</v>
      </c>
      <c r="AA176" s="437">
        <f>Z175*Data!AA135/Data!Z135</f>
        <v>3415.1613164877463</v>
      </c>
      <c r="AB176" s="437">
        <f>AA175*Data!AB135/Data!AA135</f>
        <v>3464.7120413880471</v>
      </c>
      <c r="AC176" s="437">
        <f>AB175*Data!AC135/Data!AB135</f>
        <v>3518.3224484855145</v>
      </c>
      <c r="AD176" s="437">
        <f>AC175*Data!AD135/Data!AC135</f>
        <v>3570.6170982152394</v>
      </c>
      <c r="AE176" s="437">
        <f>AD175*Data!AE135/Data!AD135</f>
        <v>3641.1860301988381</v>
      </c>
      <c r="AF176" s="437">
        <f>AE175*Data!AF135/Data!AE135</f>
        <v>3671.236468913135</v>
      </c>
      <c r="AG176" s="437">
        <f>AF175*Data!AG135/Data!AF135</f>
        <v>3732.627158715075</v>
      </c>
      <c r="AH176" s="437">
        <f>AG175*Data!AH135/Data!AG135</f>
        <v>3790.5463034527538</v>
      </c>
      <c r="AI176" s="437">
        <f>AH175*Data!AI135/Data!AH135</f>
        <v>3839.7434202736404</v>
      </c>
      <c r="AJ176" s="437">
        <f>AI175*Data!AJ135/Data!AI135</f>
        <v>3894.4886316169077</v>
      </c>
      <c r="AM176" s="5">
        <f>Data!AJ107/Data!C107</f>
        <v>1.4876896598550005</v>
      </c>
      <c r="AN176" s="5" t="s">
        <v>1343</v>
      </c>
    </row>
    <row r="177" spans="1:40">
      <c r="A177" s="5" t="s">
        <v>1331</v>
      </c>
      <c r="B177" s="433" t="s">
        <v>1287</v>
      </c>
      <c r="C177" s="319">
        <f>K216</f>
        <v>1906.4228740000001</v>
      </c>
      <c r="D177" s="319">
        <f>C177+(($AJ$177-$C$177)/(2050-2017))</f>
        <v>1922.9307958459185</v>
      </c>
      <c r="E177" s="319">
        <f t="shared" ref="E177:AH177" si="8">D177+(($AJ$177-$C$177)/(2050-2017))</f>
        <v>1939.4387176918369</v>
      </c>
      <c r="F177" s="319">
        <f t="shared" si="8"/>
        <v>1955.9466395377553</v>
      </c>
      <c r="G177" s="319">
        <f t="shared" si="8"/>
        <v>1972.4545613836738</v>
      </c>
      <c r="H177" s="319">
        <f t="shared" si="8"/>
        <v>1988.9624832295922</v>
      </c>
      <c r="I177" s="319">
        <f t="shared" si="8"/>
        <v>2005.4704050755106</v>
      </c>
      <c r="J177" s="319">
        <f t="shared" si="8"/>
        <v>2021.978326921429</v>
      </c>
      <c r="K177" s="319">
        <f t="shared" si="8"/>
        <v>2038.4862487673474</v>
      </c>
      <c r="L177" s="319">
        <f t="shared" si="8"/>
        <v>2054.9941706132659</v>
      </c>
      <c r="M177" s="319">
        <f t="shared" si="8"/>
        <v>2071.5020924591845</v>
      </c>
      <c r="N177" s="319">
        <f t="shared" si="8"/>
        <v>2088.0100143051031</v>
      </c>
      <c r="O177" s="319">
        <f t="shared" si="8"/>
        <v>2104.5179361510218</v>
      </c>
      <c r="P177" s="319">
        <f t="shared" si="8"/>
        <v>2121.0258579969404</v>
      </c>
      <c r="Q177" s="319">
        <f t="shared" si="8"/>
        <v>2137.5337798428591</v>
      </c>
      <c r="R177" s="319">
        <f t="shared" si="8"/>
        <v>2154.0417016887777</v>
      </c>
      <c r="S177" s="319">
        <f t="shared" si="8"/>
        <v>2170.5496235346964</v>
      </c>
      <c r="T177" s="319">
        <f t="shared" si="8"/>
        <v>2187.057545380615</v>
      </c>
      <c r="U177" s="319">
        <f t="shared" si="8"/>
        <v>2203.5654672265337</v>
      </c>
      <c r="V177" s="319">
        <f t="shared" si="8"/>
        <v>2220.0733890724523</v>
      </c>
      <c r="W177" s="319">
        <f t="shared" si="8"/>
        <v>2236.5813109183709</v>
      </c>
      <c r="X177" s="319">
        <f t="shared" si="8"/>
        <v>2253.0892327642896</v>
      </c>
      <c r="Y177" s="319">
        <f t="shared" si="8"/>
        <v>2269.5971546102082</v>
      </c>
      <c r="Z177" s="319">
        <f t="shared" si="8"/>
        <v>2286.1050764561269</v>
      </c>
      <c r="AA177" s="319">
        <f t="shared" si="8"/>
        <v>2302.6129983020455</v>
      </c>
      <c r="AB177" s="319">
        <f t="shared" si="8"/>
        <v>2319.1209201479642</v>
      </c>
      <c r="AC177" s="319">
        <f t="shared" si="8"/>
        <v>2335.6288419938828</v>
      </c>
      <c r="AD177" s="319">
        <f t="shared" si="8"/>
        <v>2352.1367638398015</v>
      </c>
      <c r="AE177" s="319">
        <f t="shared" si="8"/>
        <v>2368.6446856857201</v>
      </c>
      <c r="AF177" s="319">
        <f t="shared" si="8"/>
        <v>2385.1526075316388</v>
      </c>
      <c r="AG177" s="319">
        <f t="shared" si="8"/>
        <v>2401.6605293775574</v>
      </c>
      <c r="AH177" s="319">
        <f t="shared" si="8"/>
        <v>2418.168451223476</v>
      </c>
      <c r="AI177" s="319">
        <f>AH177+(($AJ$177-$C$177)/(2050-2017))</f>
        <v>2434.6763730693947</v>
      </c>
      <c r="AJ177" s="319">
        <f>C177*Data!AJ146/Data!C146</f>
        <v>2451.1842949153115</v>
      </c>
      <c r="AM177" s="5">
        <f>Data!AJ135/Data!C135</f>
        <v>1.3578574248209838</v>
      </c>
      <c r="AN177" s="5" t="s">
        <v>1342</v>
      </c>
    </row>
    <row r="178" spans="1:40">
      <c r="B178" s="433"/>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c r="AA178" s="319"/>
      <c r="AB178" s="319"/>
      <c r="AC178" s="319"/>
      <c r="AD178" s="319"/>
      <c r="AE178" s="319"/>
      <c r="AF178" s="319"/>
      <c r="AG178" s="319"/>
      <c r="AH178" s="319"/>
      <c r="AI178" s="319"/>
      <c r="AJ178" s="319"/>
    </row>
    <row r="179" spans="1:40">
      <c r="A179" s="5" t="s">
        <v>1332</v>
      </c>
      <c r="B179" s="433" t="s">
        <v>1333</v>
      </c>
      <c r="C179" s="319">
        <f>K219</f>
        <v>436.59048100000001</v>
      </c>
      <c r="D179" s="319">
        <f>C179+(($AJ$179-$C$179)/(2050-2017))</f>
        <v>443.04262230832791</v>
      </c>
      <c r="E179" s="319">
        <f t="shared" ref="E179:AI179" si="9">D179+(($AJ$179-$C$179)/(2050-2017))</f>
        <v>449.4947636166558</v>
      </c>
      <c r="F179" s="319">
        <f t="shared" si="9"/>
        <v>455.9469049249837</v>
      </c>
      <c r="G179" s="319">
        <f t="shared" si="9"/>
        <v>462.39904623331159</v>
      </c>
      <c r="H179" s="319">
        <f t="shared" si="9"/>
        <v>468.85118754163949</v>
      </c>
      <c r="I179" s="319">
        <f t="shared" si="9"/>
        <v>475.30332884996739</v>
      </c>
      <c r="J179" s="319">
        <f t="shared" si="9"/>
        <v>481.75547015829528</v>
      </c>
      <c r="K179" s="319">
        <f t="shared" si="9"/>
        <v>488.20761146662318</v>
      </c>
      <c r="L179" s="319">
        <f t="shared" si="9"/>
        <v>494.65975277495107</v>
      </c>
      <c r="M179" s="319">
        <f t="shared" si="9"/>
        <v>501.11189408327897</v>
      </c>
      <c r="N179" s="319">
        <f t="shared" si="9"/>
        <v>507.56403539160686</v>
      </c>
      <c r="O179" s="319">
        <f t="shared" si="9"/>
        <v>514.01617669993482</v>
      </c>
      <c r="P179" s="319">
        <f t="shared" si="9"/>
        <v>520.46831800826271</v>
      </c>
      <c r="Q179" s="319">
        <f t="shared" si="9"/>
        <v>526.92045931659061</v>
      </c>
      <c r="R179" s="319">
        <f t="shared" si="9"/>
        <v>533.3726006249185</v>
      </c>
      <c r="S179" s="319">
        <f t="shared" si="9"/>
        <v>539.8247419332464</v>
      </c>
      <c r="T179" s="319">
        <f t="shared" si="9"/>
        <v>546.2768832415743</v>
      </c>
      <c r="U179" s="319">
        <f t="shared" si="9"/>
        <v>552.72902454990219</v>
      </c>
      <c r="V179" s="319">
        <f t="shared" si="9"/>
        <v>559.18116585823009</v>
      </c>
      <c r="W179" s="319">
        <f t="shared" si="9"/>
        <v>565.63330716655798</v>
      </c>
      <c r="X179" s="319">
        <f t="shared" si="9"/>
        <v>572.08544847488588</v>
      </c>
      <c r="Y179" s="319">
        <f t="shared" si="9"/>
        <v>578.53758978321378</v>
      </c>
      <c r="Z179" s="319">
        <f t="shared" si="9"/>
        <v>584.98973109154167</v>
      </c>
      <c r="AA179" s="319">
        <f t="shared" si="9"/>
        <v>591.44187239986957</v>
      </c>
      <c r="AB179" s="319">
        <f t="shared" si="9"/>
        <v>597.89401370819746</v>
      </c>
      <c r="AC179" s="319">
        <f t="shared" si="9"/>
        <v>604.34615501652536</v>
      </c>
      <c r="AD179" s="319">
        <f t="shared" si="9"/>
        <v>610.79829632485325</v>
      </c>
      <c r="AE179" s="319">
        <f t="shared" si="9"/>
        <v>617.25043763318115</v>
      </c>
      <c r="AF179" s="319">
        <f t="shared" si="9"/>
        <v>623.70257894150905</v>
      </c>
      <c r="AG179" s="319">
        <f t="shared" si="9"/>
        <v>630.15472024983694</v>
      </c>
      <c r="AH179" s="319">
        <f t="shared" si="9"/>
        <v>636.60686155816484</v>
      </c>
      <c r="AI179" s="319">
        <f t="shared" si="9"/>
        <v>643.05900286649273</v>
      </c>
      <c r="AJ179" s="319">
        <f>C179*Data!AJ107/Data!C107</f>
        <v>649.51114417482108</v>
      </c>
    </row>
    <row r="180" spans="1:40">
      <c r="B180" s="433"/>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c r="AA180" s="319"/>
      <c r="AB180" s="319"/>
      <c r="AC180" s="319"/>
      <c r="AD180" s="319"/>
      <c r="AE180" s="319"/>
      <c r="AF180" s="319"/>
      <c r="AG180" s="319"/>
      <c r="AH180" s="319"/>
      <c r="AI180" s="319"/>
      <c r="AJ180" s="319"/>
      <c r="AM180" s="5">
        <f>Data!AJ146/Data!C146</f>
        <v>1.2857505689555166</v>
      </c>
      <c r="AN180" s="5" t="s">
        <v>1345</v>
      </c>
    </row>
    <row r="181" spans="1:40">
      <c r="B181" s="433"/>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c r="AA181" s="319"/>
      <c r="AB181" s="319"/>
      <c r="AC181" s="319"/>
      <c r="AD181" s="319"/>
      <c r="AE181" s="319"/>
      <c r="AF181" s="319"/>
      <c r="AG181" s="319"/>
      <c r="AH181" s="319"/>
      <c r="AI181" s="319"/>
      <c r="AJ181" s="319"/>
    </row>
    <row r="183" spans="1:40">
      <c r="B183" s="424" t="s">
        <v>339</v>
      </c>
      <c r="C183" s="5">
        <f>K131</f>
        <v>67.900000000000006</v>
      </c>
      <c r="D183" s="5">
        <f>C183+(($AJ$183-$C$183)/(2050-2017))</f>
        <v>68.03961731564209</v>
      </c>
      <c r="E183" s="5">
        <f t="shared" ref="E183:AI183" si="10">D183+(($AJ$183-$C$183)/(2050-2017))</f>
        <v>68.179234631284174</v>
      </c>
      <c r="F183" s="5">
        <f t="shared" si="10"/>
        <v>68.318851946926259</v>
      </c>
      <c r="G183" s="5">
        <f t="shared" si="10"/>
        <v>68.458469262568343</v>
      </c>
      <c r="H183" s="5">
        <f t="shared" si="10"/>
        <v>68.598086578210427</v>
      </c>
      <c r="I183" s="5">
        <f t="shared" si="10"/>
        <v>68.737703893852512</v>
      </c>
      <c r="J183" s="5">
        <f t="shared" si="10"/>
        <v>68.877321209494596</v>
      </c>
      <c r="K183" s="5">
        <f t="shared" si="10"/>
        <v>69.01693852513668</v>
      </c>
      <c r="L183" s="5">
        <f t="shared" si="10"/>
        <v>69.156555840778765</v>
      </c>
      <c r="M183" s="5">
        <f t="shared" si="10"/>
        <v>69.296173156420849</v>
      </c>
      <c r="N183" s="5">
        <f t="shared" si="10"/>
        <v>69.435790472062934</v>
      </c>
      <c r="O183" s="5">
        <f t="shared" si="10"/>
        <v>69.575407787705018</v>
      </c>
      <c r="P183" s="5">
        <f t="shared" si="10"/>
        <v>69.715025103347102</v>
      </c>
      <c r="Q183" s="5">
        <f t="shared" si="10"/>
        <v>69.854642418989187</v>
      </c>
      <c r="R183" s="5">
        <f t="shared" si="10"/>
        <v>69.994259734631271</v>
      </c>
      <c r="S183" s="5">
        <f t="shared" si="10"/>
        <v>70.133877050273355</v>
      </c>
      <c r="T183" s="5">
        <f t="shared" si="10"/>
        <v>70.27349436591544</v>
      </c>
      <c r="U183" s="5">
        <f t="shared" si="10"/>
        <v>70.413111681557524</v>
      </c>
      <c r="V183" s="5">
        <f t="shared" si="10"/>
        <v>70.552728997199608</v>
      </c>
      <c r="W183" s="5">
        <f t="shared" si="10"/>
        <v>70.692346312841693</v>
      </c>
      <c r="X183" s="5">
        <f t="shared" si="10"/>
        <v>70.831963628483777</v>
      </c>
      <c r="Y183" s="5">
        <f t="shared" si="10"/>
        <v>70.971580944125861</v>
      </c>
      <c r="Z183" s="5">
        <f t="shared" si="10"/>
        <v>71.111198259767946</v>
      </c>
      <c r="AA183" s="5">
        <f t="shared" si="10"/>
        <v>71.25081557541003</v>
      </c>
      <c r="AB183" s="5">
        <f t="shared" si="10"/>
        <v>71.390432891052114</v>
      </c>
      <c r="AC183" s="5">
        <f t="shared" si="10"/>
        <v>71.530050206694199</v>
      </c>
      <c r="AD183" s="5">
        <f t="shared" si="10"/>
        <v>71.669667522336283</v>
      </c>
      <c r="AE183" s="5">
        <f t="shared" si="10"/>
        <v>71.809284837978367</v>
      </c>
      <c r="AF183" s="5">
        <f t="shared" si="10"/>
        <v>71.948902153620452</v>
      </c>
      <c r="AG183" s="5">
        <f t="shared" si="10"/>
        <v>72.088519469262536</v>
      </c>
      <c r="AH183" s="5">
        <f t="shared" si="10"/>
        <v>72.228136784904621</v>
      </c>
      <c r="AI183" s="5">
        <f t="shared" si="10"/>
        <v>72.367754100546705</v>
      </c>
      <c r="AJ183" s="5">
        <f>C183*(Data!AJ139/Data!C139)</f>
        <v>72.50737141618886</v>
      </c>
    </row>
    <row r="185" spans="1:40">
      <c r="B185" s="424" t="s">
        <v>1011</v>
      </c>
      <c r="C185" s="456">
        <f>D131+F131+(H131/'TX Calculations'!$P$191)</f>
        <v>745.21742707494946</v>
      </c>
      <c r="D185" s="456">
        <f>TREND($D$125:$D$131,$A$125:$A$131,D163)+TREND($F$125:$F$131,$A$125:$A$131,D163)+(TREND($H$125:$H$131,$A$125:$A$131,D163)/'TX Calculations'!$P$191)</f>
        <v>736.63430922853922</v>
      </c>
      <c r="E185" s="456">
        <f>TREND($D$125:$D$131,$A$125:$A$131,E163)+TREND($F$125:$F$131,$A$125:$A$131,E163)+(TREND($H$125:$H$131,$A$125:$A$131,E163)/'TX Calculations'!$P$191)</f>
        <v>733.32530256774464</v>
      </c>
      <c r="F185" s="456">
        <f>TREND($D$125:$D$131,$A$125:$A$131,F163)+TREND($F$125:$F$131,$A$125:$A$131,F163)+(TREND($H$125:$H$131,$A$125:$A$131,F163)/'TX Calculations'!$P$191)</f>
        <v>730.01629590695006</v>
      </c>
      <c r="G185" s="456">
        <f>TREND($D$125:$D$131,$A$125:$A$131,G163)+TREND($F$125:$F$131,$A$125:$A$131,G163)+(TREND($H$125:$H$131,$A$125:$A$131,G163)/'TX Calculations'!$P$191)</f>
        <v>726.70728924615457</v>
      </c>
      <c r="H185" s="456">
        <f>TREND($D$125:$D$131,$A$125:$A$131,H163)+TREND($F$125:$F$131,$A$125:$A$131,H163)+(TREND($H$125:$H$131,$A$125:$A$131,H163)/'TX Calculations'!$P$191)</f>
        <v>723.39828258535908</v>
      </c>
      <c r="I185" s="456">
        <f>TREND($D$125:$D$131,$A$125:$A$131,I163)+TREND($F$125:$F$131,$A$125:$A$131,I163)+(TREND($H$125:$H$131,$A$125:$A$131,I163)/'TX Calculations'!$P$191)</f>
        <v>720.0892759245645</v>
      </c>
      <c r="J185" s="456">
        <f>TREND($D$125:$D$131,$A$125:$A$131,J163)+TREND($F$125:$F$131,$A$125:$A$131,J163)+(TREND($H$125:$H$131,$A$125:$A$131,J163)/'TX Calculations'!$P$191)</f>
        <v>716.78026926376981</v>
      </c>
      <c r="K185" s="456">
        <f>TREND($D$125:$D$131,$A$125:$A$131,K163)+TREND($F$125:$F$131,$A$125:$A$131,K163)+(TREND($H$125:$H$131,$A$125:$A$131,K163)/'TX Calculations'!$P$191)</f>
        <v>713.47126260297432</v>
      </c>
      <c r="L185" s="456">
        <f>TREND($D$125:$D$131,$A$125:$A$131,L163)+TREND($F$125:$F$131,$A$125:$A$131,L163)+(TREND($H$125:$H$131,$A$125:$A$131,L163)/'TX Calculations'!$P$191)</f>
        <v>710.16225594218065</v>
      </c>
      <c r="M185" s="456">
        <f>TREND($D$125:$D$131,$A$125:$A$131,M163)+TREND($F$125:$F$131,$A$125:$A$131,M163)+(TREND($H$125:$H$131,$A$125:$A$131,M163)/'TX Calculations'!$P$191)</f>
        <v>706.85324928138425</v>
      </c>
      <c r="N185" s="456">
        <f>TREND($D$125:$D$131,$A$125:$A$131,N163)+TREND($F$125:$F$131,$A$125:$A$131,N163)+(TREND($H$125:$H$131,$A$125:$A$131,N163)/'TX Calculations'!$P$191)</f>
        <v>703.54424262058967</v>
      </c>
      <c r="O185" s="456">
        <f>TREND($D$125:$D$131,$A$125:$A$131,O163)+TREND($F$125:$F$131,$A$125:$A$131,O163)+(TREND($H$125:$H$131,$A$125:$A$131,O163)/'TX Calculations'!$P$191)</f>
        <v>700.23523595979509</v>
      </c>
      <c r="P185" s="456">
        <f>TREND($D$125:$D$131,$A$125:$A$131,P163)+TREND($F$125:$F$131,$A$125:$A$131,P163)+(TREND($H$125:$H$131,$A$125:$A$131,P163)/'TX Calculations'!$P$191)</f>
        <v>696.92622929899949</v>
      </c>
      <c r="Q185" s="456">
        <f>TREND($D$125:$D$131,$A$125:$A$131,Q163)+TREND($F$125:$F$131,$A$125:$A$131,Q163)+(TREND($H$125:$H$131,$A$125:$A$131,Q163)/'TX Calculations'!$P$191)</f>
        <v>693.61722263820502</v>
      </c>
      <c r="R185" s="456">
        <f>TREND($D$125:$D$131,$A$125:$A$131,R163)+TREND($F$125:$F$131,$A$125:$A$131,R163)+(TREND($H$125:$H$131,$A$125:$A$131,R163)/'TX Calculations'!$P$191)</f>
        <v>690.30821597740942</v>
      </c>
      <c r="S185" s="456">
        <f>TREND($D$125:$D$131,$A$125:$A$131,S163)+TREND($F$125:$F$131,$A$125:$A$131,S163)+(TREND($H$125:$H$131,$A$125:$A$131,S163)/'TX Calculations'!$P$191)</f>
        <v>686.99920931661484</v>
      </c>
      <c r="T185" s="456">
        <f>TREND($D$125:$D$131,$A$125:$A$131,T163)+TREND($F$125:$F$131,$A$125:$A$131,T163)+(TREND($H$125:$H$131,$A$125:$A$131,T163)/'TX Calculations'!$P$191)</f>
        <v>683.69020265582026</v>
      </c>
      <c r="U185" s="456">
        <f>TREND($D$125:$D$131,$A$125:$A$131,U163)+TREND($F$125:$F$131,$A$125:$A$131,U163)+(TREND($H$125:$H$131,$A$125:$A$131,U163)/'TX Calculations'!$P$191)</f>
        <v>680.38119599502477</v>
      </c>
      <c r="V185" s="456">
        <f>TREND($D$125:$D$131,$A$125:$A$131,V163)+TREND($F$125:$F$131,$A$125:$A$131,V163)+(TREND($H$125:$H$131,$A$125:$A$131,V163)/'TX Calculations'!$P$191)</f>
        <v>677.07218933423019</v>
      </c>
      <c r="W185" s="456">
        <f>TREND($D$125:$D$131,$A$125:$A$131,W163)+TREND($F$125:$F$131,$A$125:$A$131,W163)+(TREND($H$125:$H$131,$A$125:$A$131,W163)/'TX Calculations'!$P$191)</f>
        <v>673.7631826734347</v>
      </c>
      <c r="X185" s="456">
        <f>TREND($D$125:$D$131,$A$125:$A$131,X163)+TREND($F$125:$F$131,$A$125:$A$131,X163)+(TREND($H$125:$H$131,$A$125:$A$131,X163)/'TX Calculations'!$P$191)</f>
        <v>670.45417601264</v>
      </c>
      <c r="Y185" s="456">
        <f>TREND($D$125:$D$131,$A$125:$A$131,Y163)+TREND($F$125:$F$131,$A$125:$A$131,Y163)+(TREND($H$125:$H$131,$A$125:$A$131,Y163)/'TX Calculations'!$P$191)</f>
        <v>667.14516935184542</v>
      </c>
      <c r="Z185" s="456">
        <f>TREND($D$125:$D$131,$A$125:$A$131,Z163)+TREND($F$125:$F$131,$A$125:$A$131,Z163)+(TREND($H$125:$H$131,$A$125:$A$131,Z163)/'TX Calculations'!$P$191)</f>
        <v>663.83616269105084</v>
      </c>
      <c r="AA185" s="456">
        <f>TREND($D$125:$D$131,$A$125:$A$131,AA163)+TREND($F$125:$F$131,$A$125:$A$131,AA163)+(TREND($H$125:$H$131,$A$125:$A$131,AA163)/'TX Calculations'!$P$191)</f>
        <v>660.52715603025445</v>
      </c>
      <c r="AB185" s="456">
        <f>TREND($D$125:$D$131,$A$125:$A$131,AB163)+TREND($F$125:$F$131,$A$125:$A$131,AB163)+(TREND($H$125:$H$131,$A$125:$A$131,AB163)/'TX Calculations'!$P$191)</f>
        <v>657.21814936945987</v>
      </c>
      <c r="AC185" s="456">
        <f>TREND($D$125:$D$131,$A$125:$A$131,AC163)+TREND($F$125:$F$131,$A$125:$A$131,AC163)+(TREND($H$125:$H$131,$A$125:$A$131,AC163)/'TX Calculations'!$P$191)</f>
        <v>653.90914270866529</v>
      </c>
      <c r="AD185" s="456">
        <f>TREND($D$125:$D$131,$A$125:$A$131,AD163)+TREND($F$125:$F$131,$A$125:$A$131,AD163)+(TREND($H$125:$H$131,$A$125:$A$131,AD163)/'TX Calculations'!$P$191)</f>
        <v>650.60013604787059</v>
      </c>
      <c r="AE185" s="456">
        <f>TREND($D$125:$D$131,$A$125:$A$131,AE163)+TREND($F$125:$F$131,$A$125:$A$131,AE163)+(TREND($H$125:$H$131,$A$125:$A$131,AE163)/'TX Calculations'!$P$191)</f>
        <v>647.29112938707601</v>
      </c>
      <c r="AF185" s="456">
        <f>TREND($D$125:$D$131,$A$125:$A$131,AF163)+TREND($F$125:$F$131,$A$125:$A$131,AF163)+(TREND($H$125:$H$131,$A$125:$A$131,AF163)/'TX Calculations'!$P$191)</f>
        <v>643.98212272627961</v>
      </c>
      <c r="AG185" s="456">
        <f>TREND($D$125:$D$131,$A$125:$A$131,AG163)+TREND($F$125:$F$131,$A$125:$A$131,AG163)+(TREND($H$125:$H$131,$A$125:$A$131,AG163)/'TX Calculations'!$P$191)</f>
        <v>640.67311606548594</v>
      </c>
      <c r="AH185" s="456">
        <f>TREND($D$125:$D$131,$A$125:$A$131,AH163)+TREND($F$125:$F$131,$A$125:$A$131,AH163)+(TREND($H$125:$H$131,$A$125:$A$131,AH163)/'TX Calculations'!$P$191)</f>
        <v>637.36410940469045</v>
      </c>
      <c r="AI185" s="456">
        <f>TREND($D$125:$D$131,$A$125:$A$131,AI163)+TREND($F$125:$F$131,$A$125:$A$131,AI163)+(TREND($H$125:$H$131,$A$125:$A$131,AI163)/'TX Calculations'!$P$191)</f>
        <v>634.05510274389496</v>
      </c>
      <c r="AJ185" s="456">
        <f>TREND($D$125:$D$131,$A$125:$A$131,AJ163)+TREND($F$125:$F$131,$A$125:$A$131,AJ163)+(TREND($H$125:$H$131,$A$125:$A$131,AJ163)/'TX Calculations'!$P$191)</f>
        <v>630.74609608310118</v>
      </c>
    </row>
    <row r="186" spans="1:40" s="415" customFormat="1">
      <c r="B186" s="436" t="s">
        <v>1262</v>
      </c>
      <c r="C186" s="104">
        <v>745.21742707494946</v>
      </c>
      <c r="D186" s="367">
        <f>C185*Data!D148/Data!C148</f>
        <v>767.69152100357076</v>
      </c>
      <c r="E186" s="367">
        <f>D185*Data!E148/Data!D148</f>
        <v>752.25838669917061</v>
      </c>
      <c r="F186" s="367">
        <f>E185*Data!F148/Data!E148</f>
        <v>740.94564784025101</v>
      </c>
      <c r="G186" s="367">
        <f>F185*Data!G148/Data!F148</f>
        <v>733.87858143806238</v>
      </c>
      <c r="H186" s="367">
        <f>G185*Data!H148/Data!G148</f>
        <v>731.05452043930666</v>
      </c>
      <c r="I186" s="367">
        <f>H185*Data!I148/Data!H148</f>
        <v>722.48231068101904</v>
      </c>
      <c r="J186" s="367">
        <f>I185*Data!J148/Data!I148</f>
        <v>719.92616821023546</v>
      </c>
      <c r="K186" s="367">
        <f>J185*Data!K148/Data!J148</f>
        <v>720.041221035234</v>
      </c>
      <c r="L186" s="367">
        <f>K185*Data!L148/Data!K148</f>
        <v>717.11765837033249</v>
      </c>
      <c r="M186" s="367">
        <f>L185*Data!M148/Data!L148</f>
        <v>713.13908483378657</v>
      </c>
      <c r="N186" s="367">
        <f>M185*Data!N148/Data!M148</f>
        <v>711.33909182756668</v>
      </c>
      <c r="O186" s="367">
        <f>N185*Data!O148/Data!N148</f>
        <v>708.94765001760516</v>
      </c>
      <c r="P186" s="367">
        <f>O185*Data!P148/Data!O148</f>
        <v>707.7972548310039</v>
      </c>
      <c r="Q186" s="367">
        <f>P185*Data!Q148/Data!P148</f>
        <v>705.12697394181077</v>
      </c>
      <c r="R186" s="367">
        <f>Q185*Data!R148/Data!Q148</f>
        <v>700.64791512616694</v>
      </c>
      <c r="S186" s="367">
        <f>R185*Data!S148/Data!R148</f>
        <v>697.54816503711493</v>
      </c>
      <c r="T186" s="367">
        <f>S185*Data!T148/Data!S148</f>
        <v>694.62456217332067</v>
      </c>
      <c r="U186" s="367">
        <f>T185*Data!U148/Data!T148</f>
        <v>691.01295132576911</v>
      </c>
      <c r="V186" s="367">
        <f>U185*Data!V148/Data!U148</f>
        <v>687.87636166384482</v>
      </c>
      <c r="W186" s="367">
        <f>V185*Data!W148/Data!V148</f>
        <v>684.92767896451608</v>
      </c>
      <c r="X186" s="367">
        <f>W185*Data!X148/Data!W148</f>
        <v>681.61597782914237</v>
      </c>
      <c r="Y186" s="367">
        <f>X185*Data!Y148/Data!X148</f>
        <v>677.32539104848411</v>
      </c>
      <c r="Z186" s="367">
        <f>Y185*Data!Z148/Data!Y148</f>
        <v>674.78695574351707</v>
      </c>
      <c r="AA186" s="367">
        <f>Z185*Data!AA148/Data!Z148</f>
        <v>671.60631058808008</v>
      </c>
      <c r="AB186" s="367">
        <f>AA185*Data!AB148/Data!AA148</f>
        <v>668.03673899804539</v>
      </c>
      <c r="AC186" s="367">
        <f>AB185*Data!AC148/Data!AB148</f>
        <v>664.68642327255077</v>
      </c>
      <c r="AD186" s="367">
        <f>AC185*Data!AD148/Data!AC148</f>
        <v>661.96722989974432</v>
      </c>
      <c r="AE186" s="367">
        <f>AD185*Data!AE148/Data!AD148</f>
        <v>658.57882748582438</v>
      </c>
      <c r="AF186" s="367">
        <f>AE185*Data!AF148/Data!AE148</f>
        <v>655.41957890550214</v>
      </c>
      <c r="AG186" s="367">
        <f>AF185*Data!AG148/Data!AF148</f>
        <v>652.12370947244085</v>
      </c>
      <c r="AH186" s="367">
        <f>AG185*Data!AH148/Data!AG148</f>
        <v>648.84569099466376</v>
      </c>
      <c r="AI186" s="367">
        <f>AH185*Data!AI148/Data!AH148</f>
        <v>644.79148829391522</v>
      </c>
      <c r="AJ186" s="367">
        <f>AI185*Data!AJ148/Data!AI148</f>
        <v>641.82770820976191</v>
      </c>
    </row>
    <row r="187" spans="1:40">
      <c r="B187" s="433" t="s">
        <v>1287</v>
      </c>
      <c r="C187" s="5">
        <v>745.21742707494946</v>
      </c>
      <c r="D187" s="5">
        <f>C187+(($AJ$187-$C$187)/(2050-2017))</f>
        <v>754.332405422276</v>
      </c>
      <c r="E187" s="5">
        <f t="shared" ref="E187:AI187" si="11">D187+(($AJ$187-$C$187)/(2050-2017))</f>
        <v>763.44738376960254</v>
      </c>
      <c r="F187" s="5">
        <f t="shared" si="11"/>
        <v>772.56236211692908</v>
      </c>
      <c r="G187" s="5">
        <f t="shared" si="11"/>
        <v>781.67734046425562</v>
      </c>
      <c r="H187" s="5">
        <f t="shared" si="11"/>
        <v>790.79231881158216</v>
      </c>
      <c r="I187" s="5">
        <f t="shared" si="11"/>
        <v>799.9072971589087</v>
      </c>
      <c r="J187" s="5">
        <f t="shared" si="11"/>
        <v>809.02227550623525</v>
      </c>
      <c r="K187" s="5">
        <f t="shared" si="11"/>
        <v>818.13725385356179</v>
      </c>
      <c r="L187" s="5">
        <f t="shared" si="11"/>
        <v>827.25223220088833</v>
      </c>
      <c r="M187" s="5">
        <f t="shared" si="11"/>
        <v>836.36721054821487</v>
      </c>
      <c r="N187" s="5">
        <f t="shared" si="11"/>
        <v>845.48218889554141</v>
      </c>
      <c r="O187" s="5">
        <f t="shared" si="11"/>
        <v>854.59716724286795</v>
      </c>
      <c r="P187" s="5">
        <f t="shared" si="11"/>
        <v>863.7121455901945</v>
      </c>
      <c r="Q187" s="5">
        <f t="shared" si="11"/>
        <v>872.82712393752104</v>
      </c>
      <c r="R187" s="5">
        <f t="shared" si="11"/>
        <v>881.94210228484758</v>
      </c>
      <c r="S187" s="5">
        <f t="shared" si="11"/>
        <v>891.05708063217412</v>
      </c>
      <c r="T187" s="5">
        <f t="shared" si="11"/>
        <v>900.17205897950066</v>
      </c>
      <c r="U187" s="5">
        <f t="shared" si="11"/>
        <v>909.2870373268272</v>
      </c>
      <c r="V187" s="5">
        <f t="shared" si="11"/>
        <v>918.40201567415374</v>
      </c>
      <c r="W187" s="5">
        <f t="shared" si="11"/>
        <v>927.51699402148029</v>
      </c>
      <c r="X187" s="5">
        <f t="shared" si="11"/>
        <v>936.63197236880683</v>
      </c>
      <c r="Y187" s="5">
        <f t="shared" si="11"/>
        <v>945.74695071613337</v>
      </c>
      <c r="Z187" s="5">
        <f t="shared" si="11"/>
        <v>954.86192906345991</v>
      </c>
      <c r="AA187" s="5">
        <f t="shared" si="11"/>
        <v>963.97690741078645</v>
      </c>
      <c r="AB187" s="5">
        <f t="shared" si="11"/>
        <v>973.09188575811299</v>
      </c>
      <c r="AC187" s="5">
        <f t="shared" si="11"/>
        <v>982.20686410543954</v>
      </c>
      <c r="AD187" s="5">
        <f t="shared" si="11"/>
        <v>991.32184245276608</v>
      </c>
      <c r="AE187" s="5">
        <f t="shared" si="11"/>
        <v>1000.4368208000926</v>
      </c>
      <c r="AF187" s="5">
        <f t="shared" si="11"/>
        <v>1009.5517991474192</v>
      </c>
      <c r="AG187" s="5">
        <f t="shared" si="11"/>
        <v>1018.6667774947457</v>
      </c>
      <c r="AH187" s="5">
        <f t="shared" si="11"/>
        <v>1027.7817558420722</v>
      </c>
      <c r="AI187" s="5">
        <f t="shared" si="11"/>
        <v>1036.8967341893988</v>
      </c>
      <c r="AJ187" s="5">
        <f>C187*Data!AJ148/Data!C148</f>
        <v>1046.0117125367258</v>
      </c>
    </row>
    <row r="189" spans="1:40">
      <c r="B189" s="424" t="s">
        <v>1012</v>
      </c>
      <c r="C189" s="319">
        <v>0</v>
      </c>
      <c r="D189" s="319">
        <v>0</v>
      </c>
      <c r="E189" s="319">
        <f>D189*0</f>
        <v>0</v>
      </c>
      <c r="F189" s="319">
        <f t="shared" ref="F189:AJ189" si="12">E189*0</f>
        <v>0</v>
      </c>
      <c r="G189" s="319">
        <f t="shared" si="12"/>
        <v>0</v>
      </c>
      <c r="H189" s="319">
        <f t="shared" si="12"/>
        <v>0</v>
      </c>
      <c r="I189" s="319">
        <f t="shared" si="12"/>
        <v>0</v>
      </c>
      <c r="J189" s="319">
        <f t="shared" si="12"/>
        <v>0</v>
      </c>
      <c r="K189" s="319">
        <f t="shared" si="12"/>
        <v>0</v>
      </c>
      <c r="L189" s="319">
        <f t="shared" si="12"/>
        <v>0</v>
      </c>
      <c r="M189" s="319">
        <f t="shared" si="12"/>
        <v>0</v>
      </c>
      <c r="N189" s="319">
        <f t="shared" si="12"/>
        <v>0</v>
      </c>
      <c r="O189" s="319">
        <f t="shared" si="12"/>
        <v>0</v>
      </c>
      <c r="P189" s="319">
        <f t="shared" si="12"/>
        <v>0</v>
      </c>
      <c r="Q189" s="319">
        <f t="shared" si="12"/>
        <v>0</v>
      </c>
      <c r="R189" s="319">
        <f t="shared" si="12"/>
        <v>0</v>
      </c>
      <c r="S189" s="319">
        <f t="shared" si="12"/>
        <v>0</v>
      </c>
      <c r="T189" s="319">
        <f t="shared" si="12"/>
        <v>0</v>
      </c>
      <c r="U189" s="319">
        <f t="shared" si="12"/>
        <v>0</v>
      </c>
      <c r="V189" s="319">
        <f t="shared" si="12"/>
        <v>0</v>
      </c>
      <c r="W189" s="319">
        <f t="shared" si="12"/>
        <v>0</v>
      </c>
      <c r="X189" s="319">
        <f t="shared" si="12"/>
        <v>0</v>
      </c>
      <c r="Y189" s="319">
        <f t="shared" si="12"/>
        <v>0</v>
      </c>
      <c r="Z189" s="319">
        <f t="shared" si="12"/>
        <v>0</v>
      </c>
      <c r="AA189" s="319">
        <f t="shared" si="12"/>
        <v>0</v>
      </c>
      <c r="AB189" s="319">
        <f t="shared" si="12"/>
        <v>0</v>
      </c>
      <c r="AC189" s="319">
        <f t="shared" si="12"/>
        <v>0</v>
      </c>
      <c r="AD189" s="319">
        <f t="shared" si="12"/>
        <v>0</v>
      </c>
      <c r="AE189" s="319">
        <f t="shared" si="12"/>
        <v>0</v>
      </c>
      <c r="AF189" s="319">
        <f t="shared" si="12"/>
        <v>0</v>
      </c>
      <c r="AG189" s="319">
        <f t="shared" si="12"/>
        <v>0</v>
      </c>
      <c r="AH189" s="319">
        <f t="shared" si="12"/>
        <v>0</v>
      </c>
      <c r="AI189" s="319">
        <f t="shared" si="12"/>
        <v>0</v>
      </c>
      <c r="AJ189" s="319">
        <f t="shared" si="12"/>
        <v>0</v>
      </c>
    </row>
    <row r="191" spans="1:40">
      <c r="B191" s="424" t="s">
        <v>323</v>
      </c>
      <c r="C191" s="456">
        <f>'TX O&amp;G'!F36/1000000000000</f>
        <v>10542.085800000001</v>
      </c>
      <c r="D191" s="456">
        <f>D225/1000000000000</f>
        <v>11187.979600000001</v>
      </c>
      <c r="E191" s="456">
        <f>D226/1000000000000</f>
        <v>10803.9848</v>
      </c>
      <c r="F191" s="456">
        <f t="shared" ref="F191:AJ191" si="13">TREND($D$217:$D$226,$C$217:$C$226,F163)/1000000000000</f>
        <v>11435.933466666687</v>
      </c>
      <c r="G191" s="456">
        <f t="shared" si="13"/>
        <v>11708.54250060608</v>
      </c>
      <c r="H191" s="456">
        <f t="shared" si="13"/>
        <v>11981.151534545472</v>
      </c>
      <c r="I191" s="456">
        <f t="shared" si="13"/>
        <v>12253.760568484864</v>
      </c>
      <c r="J191" s="456">
        <f t="shared" si="13"/>
        <v>12526.369602424256</v>
      </c>
      <c r="K191" s="456">
        <f t="shared" si="13"/>
        <v>12798.978636363649</v>
      </c>
      <c r="L191" s="456">
        <f t="shared" si="13"/>
        <v>13071.587670303041</v>
      </c>
      <c r="M191" s="456">
        <f t="shared" si="13"/>
        <v>13344.196704242431</v>
      </c>
      <c r="N191" s="456">
        <f t="shared" si="13"/>
        <v>13616.805738181823</v>
      </c>
      <c r="O191" s="456">
        <f t="shared" si="13"/>
        <v>13889.414772121216</v>
      </c>
      <c r="P191" s="456">
        <f t="shared" si="13"/>
        <v>14162.023806060608</v>
      </c>
      <c r="Q191" s="456">
        <f t="shared" si="13"/>
        <v>14434.63284</v>
      </c>
      <c r="R191" s="456">
        <f t="shared" si="13"/>
        <v>14707.241873939456</v>
      </c>
      <c r="S191" s="456">
        <f t="shared" si="13"/>
        <v>14979.850907878848</v>
      </c>
      <c r="T191" s="456">
        <f t="shared" si="13"/>
        <v>15252.459941818241</v>
      </c>
      <c r="U191" s="456">
        <f t="shared" si="13"/>
        <v>15525.068975757633</v>
      </c>
      <c r="V191" s="456">
        <f t="shared" si="13"/>
        <v>15797.678009697023</v>
      </c>
      <c r="W191" s="456">
        <f t="shared" si="13"/>
        <v>16070.287043636416</v>
      </c>
      <c r="X191" s="456">
        <f t="shared" si="13"/>
        <v>16342.896077575808</v>
      </c>
      <c r="Y191" s="456">
        <f t="shared" si="13"/>
        <v>16615.505111515198</v>
      </c>
      <c r="Z191" s="456">
        <f t="shared" si="13"/>
        <v>16888.11414545459</v>
      </c>
      <c r="AA191" s="456">
        <f t="shared" si="13"/>
        <v>17160.723179393983</v>
      </c>
      <c r="AB191" s="456">
        <f t="shared" si="13"/>
        <v>17433.332213333375</v>
      </c>
      <c r="AC191" s="456">
        <f t="shared" si="13"/>
        <v>17705.941247272767</v>
      </c>
      <c r="AD191" s="456">
        <f t="shared" si="13"/>
        <v>17978.550281212159</v>
      </c>
      <c r="AE191" s="456">
        <f t="shared" si="13"/>
        <v>18251.159315151552</v>
      </c>
      <c r="AF191" s="456">
        <f t="shared" si="13"/>
        <v>18523.768349090944</v>
      </c>
      <c r="AG191" s="456">
        <f t="shared" si="13"/>
        <v>18796.377383030336</v>
      </c>
      <c r="AH191" s="456">
        <f t="shared" si="13"/>
        <v>19068.986416969728</v>
      </c>
      <c r="AI191" s="456">
        <f t="shared" si="13"/>
        <v>19341.595450909121</v>
      </c>
      <c r="AJ191" s="456">
        <f t="shared" si="13"/>
        <v>19614.204484848513</v>
      </c>
    </row>
    <row r="192" spans="1:40" s="415" customFormat="1">
      <c r="B192" s="436" t="s">
        <v>1262</v>
      </c>
      <c r="C192" s="104">
        <v>10542.085800000001</v>
      </c>
      <c r="D192" s="367">
        <f>C191*Refineries!D105/Refineries!C105</f>
        <v>10765.221121351258</v>
      </c>
      <c r="E192" s="367">
        <f>D191*Refineries!E105/Refineries!D105</f>
        <v>11374.03064002557</v>
      </c>
      <c r="F192" s="367">
        <f>E191*Refineries!F105/Refineries!E105</f>
        <v>11119.854632365794</v>
      </c>
      <c r="G192" s="367">
        <f>F191*Refineries!G105/Refineries!F105</f>
        <v>11201.464921155497</v>
      </c>
      <c r="H192" s="367">
        <f>G191*Refineries!H105/Refineries!G105</f>
        <v>11731.554292035813</v>
      </c>
      <c r="I192" s="367">
        <f>H191*Refineries!I105/Refineries!H105</f>
        <v>11921.620606516921</v>
      </c>
      <c r="J192" s="367">
        <f>I191*Refineries!J105/Refineries!I105</f>
        <v>12178.215094884221</v>
      </c>
      <c r="K192" s="367">
        <f>J191*Refineries!K105/Refineries!J105</f>
        <v>12341.828731466108</v>
      </c>
      <c r="L192" s="367">
        <f>K191*Refineries!L105/Refineries!K105</f>
        <v>12685.827336405906</v>
      </c>
      <c r="M192" s="367">
        <f>L191*Refineries!M105/Refineries!L105</f>
        <v>13080.339586748072</v>
      </c>
      <c r="N192" s="367">
        <f>M191*Refineries!N105/Refineries!M105</f>
        <v>13375.231896284417</v>
      </c>
      <c r="O192" s="367">
        <f>N191*Refineries!O105/Refineries!N105</f>
        <v>13585.828300479152</v>
      </c>
      <c r="P192" s="367">
        <f>O191*Refineries!P105/Refineries!O105</f>
        <v>13857.112068630451</v>
      </c>
      <c r="Q192" s="367">
        <f>P191*Refineries!Q105/Refineries!P105</f>
        <v>14179.239107412257</v>
      </c>
      <c r="R192" s="367">
        <f>Q191*Refineries!R105/Refineries!Q105</f>
        <v>14414.03937502617</v>
      </c>
      <c r="S192" s="367">
        <f>R191*Refineries!S105/Refineries!R105</f>
        <v>14632.636836730884</v>
      </c>
      <c r="T192" s="367">
        <f>S191*Refineries!T105/Refineries!S105</f>
        <v>14989.940987080397</v>
      </c>
      <c r="U192" s="367">
        <f>T191*Refineries!U105/Refineries!T105</f>
        <v>15251.603610547645</v>
      </c>
      <c r="V192" s="367">
        <f>U191*Refineries!V105/Refineries!U105</f>
        <v>15517.656607260409</v>
      </c>
      <c r="W192" s="367">
        <f>V191*Refineries!W105/Refineries!V105</f>
        <v>15872.087222969116</v>
      </c>
      <c r="X192" s="367">
        <f>W191*Refineries!X105/Refineries!W105</f>
        <v>16086.509273286656</v>
      </c>
      <c r="Y192" s="367">
        <f>X191*Refineries!Y105/Refineries!X105</f>
        <v>16274.144252701426</v>
      </c>
      <c r="Z192" s="367">
        <f>Y191*Refineries!Z105/Refineries!Y105</f>
        <v>16615.77222347918</v>
      </c>
      <c r="AA192" s="367">
        <f>Z191*Refineries!AA105/Refineries!Z105</f>
        <v>16914.980800413359</v>
      </c>
      <c r="AB192" s="367">
        <f>AA191*Refineries!AB105/Refineries!AA105</f>
        <v>17229.584403618985</v>
      </c>
      <c r="AC192" s="367">
        <f>AB191*Refineries!AC105/Refineries!AB105</f>
        <v>17433.78602419957</v>
      </c>
      <c r="AD192" s="367">
        <f>AC191*Refineries!AD105/Refineries!AC105</f>
        <v>17782.254159947188</v>
      </c>
      <c r="AE192" s="367">
        <f>AD191*Refineries!AE105/Refineries!AD105</f>
        <v>18015.639736071444</v>
      </c>
      <c r="AF192" s="367">
        <f>AE191*Refineries!AF105/Refineries!AE105</f>
        <v>18350.018419208493</v>
      </c>
      <c r="AG192" s="367">
        <f>AF191*Refineries!AG105/Refineries!AF105</f>
        <v>18522.415586505027</v>
      </c>
      <c r="AH192" s="367">
        <f>AG191*Refineries!AH105/Refineries!AG105</f>
        <v>18829.252873766141</v>
      </c>
      <c r="AI192" s="367">
        <f>AH191*Refineries!AI105/Refineries!AH105</f>
        <v>18951.26671679354</v>
      </c>
      <c r="AJ192" s="367">
        <f>AI191*Refineries!AJ105/Refineries!AI105</f>
        <v>19354.076511985459</v>
      </c>
    </row>
    <row r="193" spans="2:40">
      <c r="B193" s="433" t="s">
        <v>1287</v>
      </c>
      <c r="C193" s="5">
        <v>10542.085800000001</v>
      </c>
      <c r="D193" s="5">
        <f>C193+(($AJ$193-$C$193)/(2050-2017))</f>
        <v>10548.820578424293</v>
      </c>
      <c r="E193" s="5">
        <f t="shared" ref="E193:AI193" si="14">D193+(($AJ$193-$C$193)/(2050-2017))</f>
        <v>10555.555356848585</v>
      </c>
      <c r="F193" s="5">
        <f t="shared" si="14"/>
        <v>10562.290135272877</v>
      </c>
      <c r="G193" s="5">
        <f t="shared" si="14"/>
        <v>10569.024913697169</v>
      </c>
      <c r="H193" s="5">
        <f t="shared" si="14"/>
        <v>10575.759692121461</v>
      </c>
      <c r="I193" s="5">
        <f t="shared" si="14"/>
        <v>10582.494470545753</v>
      </c>
      <c r="J193" s="5">
        <f t="shared" si="14"/>
        <v>10589.229248970045</v>
      </c>
      <c r="K193" s="5">
        <f t="shared" si="14"/>
        <v>10595.964027394337</v>
      </c>
      <c r="L193" s="5">
        <f t="shared" si="14"/>
        <v>10602.698805818629</v>
      </c>
      <c r="M193" s="5">
        <f t="shared" si="14"/>
        <v>10609.433584242921</v>
      </c>
      <c r="N193" s="5">
        <f t="shared" si="14"/>
        <v>10616.168362667213</v>
      </c>
      <c r="O193" s="5">
        <f t="shared" si="14"/>
        <v>10622.903141091505</v>
      </c>
      <c r="P193" s="5">
        <f t="shared" si="14"/>
        <v>10629.637919515797</v>
      </c>
      <c r="Q193" s="5">
        <f t="shared" si="14"/>
        <v>10636.372697940089</v>
      </c>
      <c r="R193" s="5">
        <f t="shared" si="14"/>
        <v>10643.107476364381</v>
      </c>
      <c r="S193" s="5">
        <f t="shared" si="14"/>
        <v>10649.842254788673</v>
      </c>
      <c r="T193" s="5">
        <f t="shared" si="14"/>
        <v>10656.577033212965</v>
      </c>
      <c r="U193" s="5">
        <f t="shared" si="14"/>
        <v>10663.311811637257</v>
      </c>
      <c r="V193" s="5">
        <f t="shared" si="14"/>
        <v>10670.046590061549</v>
      </c>
      <c r="W193" s="5">
        <f t="shared" si="14"/>
        <v>10676.781368485841</v>
      </c>
      <c r="X193" s="5">
        <f t="shared" si="14"/>
        <v>10683.516146910133</v>
      </c>
      <c r="Y193" s="5">
        <f t="shared" si="14"/>
        <v>10690.250925334425</v>
      </c>
      <c r="Z193" s="5">
        <f t="shared" si="14"/>
        <v>10696.985703758717</v>
      </c>
      <c r="AA193" s="5">
        <f t="shared" si="14"/>
        <v>10703.720482183009</v>
      </c>
      <c r="AB193" s="5">
        <f t="shared" si="14"/>
        <v>10710.455260607301</v>
      </c>
      <c r="AC193" s="5">
        <f t="shared" si="14"/>
        <v>10717.190039031593</v>
      </c>
      <c r="AD193" s="5">
        <f t="shared" si="14"/>
        <v>10723.924817455885</v>
      </c>
      <c r="AE193" s="5">
        <f t="shared" si="14"/>
        <v>10730.659595880177</v>
      </c>
      <c r="AF193" s="5">
        <f t="shared" si="14"/>
        <v>10737.394374304469</v>
      </c>
      <c r="AG193" s="5">
        <f t="shared" si="14"/>
        <v>10744.129152728761</v>
      </c>
      <c r="AH193" s="5">
        <f t="shared" si="14"/>
        <v>10750.863931153053</v>
      </c>
      <c r="AI193" s="5">
        <f t="shared" si="14"/>
        <v>10757.598709577345</v>
      </c>
      <c r="AJ193" s="5">
        <f>C193*Refineries!AJ105/Refineries!C105</f>
        <v>10764.333488001666</v>
      </c>
    </row>
    <row r="195" spans="2:40">
      <c r="B195" s="424" t="s">
        <v>342</v>
      </c>
      <c r="C195" s="456">
        <f>G131</f>
        <v>15.8</v>
      </c>
      <c r="D195" s="456">
        <f t="shared" ref="D195:AJ195" si="15">TREND($G$126:$G$131,$A$126:$A$131,D163)</f>
        <v>14.539999999999964</v>
      </c>
      <c r="E195" s="456">
        <f t="shared" si="15"/>
        <v>15.072857142857174</v>
      </c>
      <c r="F195" s="456">
        <f t="shared" si="15"/>
        <v>15.605714285714157</v>
      </c>
      <c r="G195" s="456">
        <f t="shared" si="15"/>
        <v>16.138571428571368</v>
      </c>
      <c r="H195" s="456">
        <f t="shared" si="15"/>
        <v>16.671428571428578</v>
      </c>
      <c r="I195" s="456">
        <f t="shared" si="15"/>
        <v>17.204285714285561</v>
      </c>
      <c r="J195" s="456">
        <f t="shared" si="15"/>
        <v>17.737142857142771</v>
      </c>
      <c r="K195" s="456">
        <f t="shared" si="15"/>
        <v>18.269999999999982</v>
      </c>
      <c r="L195" s="456">
        <f t="shared" si="15"/>
        <v>18.802857142857192</v>
      </c>
      <c r="M195" s="456">
        <f t="shared" si="15"/>
        <v>19.335714285714175</v>
      </c>
      <c r="N195" s="456">
        <f t="shared" si="15"/>
        <v>19.868571428571386</v>
      </c>
      <c r="O195" s="456">
        <f t="shared" si="15"/>
        <v>20.401428571428596</v>
      </c>
      <c r="P195" s="456">
        <f t="shared" si="15"/>
        <v>20.934285714285579</v>
      </c>
      <c r="Q195" s="456">
        <f t="shared" si="15"/>
        <v>21.46714285714279</v>
      </c>
      <c r="R195" s="456">
        <f t="shared" si="15"/>
        <v>22</v>
      </c>
      <c r="S195" s="456">
        <f t="shared" si="15"/>
        <v>22.532857142856983</v>
      </c>
      <c r="T195" s="456">
        <f t="shared" si="15"/>
        <v>23.065714285714193</v>
      </c>
      <c r="U195" s="456">
        <f t="shared" si="15"/>
        <v>23.598571428571404</v>
      </c>
      <c r="V195" s="456">
        <f t="shared" si="15"/>
        <v>24.131428571428614</v>
      </c>
      <c r="W195" s="456">
        <f t="shared" si="15"/>
        <v>24.664285714285597</v>
      </c>
      <c r="X195" s="456">
        <f t="shared" si="15"/>
        <v>25.197142857142808</v>
      </c>
      <c r="Y195" s="456">
        <f t="shared" si="15"/>
        <v>25.730000000000018</v>
      </c>
      <c r="Z195" s="456">
        <f t="shared" si="15"/>
        <v>26.262857142857001</v>
      </c>
      <c r="AA195" s="456">
        <f t="shared" si="15"/>
        <v>26.795714285714212</v>
      </c>
      <c r="AB195" s="456">
        <f t="shared" si="15"/>
        <v>27.328571428571422</v>
      </c>
      <c r="AC195" s="456">
        <f t="shared" si="15"/>
        <v>27.861428571428405</v>
      </c>
      <c r="AD195" s="456">
        <f t="shared" si="15"/>
        <v>28.394285714285616</v>
      </c>
      <c r="AE195" s="456">
        <f t="shared" si="15"/>
        <v>28.927142857142826</v>
      </c>
      <c r="AF195" s="456">
        <f t="shared" si="15"/>
        <v>29.460000000000036</v>
      </c>
      <c r="AG195" s="456">
        <f t="shared" si="15"/>
        <v>29.992857142857019</v>
      </c>
      <c r="AH195" s="456">
        <f t="shared" si="15"/>
        <v>30.52571428571423</v>
      </c>
      <c r="AI195" s="456">
        <f t="shared" si="15"/>
        <v>31.05857142857144</v>
      </c>
      <c r="AJ195" s="456">
        <f t="shared" si="15"/>
        <v>31.591428571428423</v>
      </c>
    </row>
    <row r="196" spans="2:40" s="415" customFormat="1">
      <c r="B196" s="435" t="s">
        <v>1262</v>
      </c>
      <c r="C196" s="104">
        <v>15.8</v>
      </c>
      <c r="D196" s="367">
        <f>C195*Data!D149/Data!C149</f>
        <v>16.007349760324338</v>
      </c>
      <c r="E196" s="367">
        <f>D195*Data!E149/Data!D149</f>
        <v>14.876642517676235</v>
      </c>
      <c r="F196" s="367">
        <f>E195*Data!F149/Data!E149</f>
        <v>13.997148948095461</v>
      </c>
      <c r="G196" s="367">
        <f>F195*Data!G149/Data!F149</f>
        <v>14.500807945874717</v>
      </c>
      <c r="H196" s="367">
        <f>G195*Data!H149/Data!G149</f>
        <v>15.451878071435688</v>
      </c>
      <c r="I196" s="367">
        <f>H195*Data!I149/Data!H149</f>
        <v>16.002616984734903</v>
      </c>
      <c r="J196" s="367">
        <f>I195*Data!J149/Data!I149</f>
        <v>16.584876291494204</v>
      </c>
      <c r="K196" s="367">
        <f>J195*Data!K149/Data!J149</f>
        <v>17.974969774549404</v>
      </c>
      <c r="L196" s="367">
        <f>K195*Data!L149/Data!K149</f>
        <v>18.176052830586038</v>
      </c>
      <c r="M196" s="367">
        <f>L195*Data!M149/Data!L149</f>
        <v>18.546194038683883</v>
      </c>
      <c r="N196" s="367">
        <f>M195*Data!N149/Data!M149</f>
        <v>19.376239500996547</v>
      </c>
      <c r="O196" s="367">
        <f>N195*Data!O149/Data!N149</f>
        <v>19.688778406085738</v>
      </c>
      <c r="P196" s="367">
        <f>O195*Data!P149/Data!O149</f>
        <v>20.403891894556995</v>
      </c>
      <c r="Q196" s="367">
        <f>P195*Data!Q149/Data!P149</f>
        <v>20.874395512430375</v>
      </c>
      <c r="R196" s="367">
        <f>Q195*Data!R149/Data!Q149</f>
        <v>21.626019295571737</v>
      </c>
      <c r="S196" s="367">
        <f>R195*Data!S149/Data!R149</f>
        <v>22.101581419344697</v>
      </c>
      <c r="T196" s="367">
        <f>S195*Data!T149/Data!S149</f>
        <v>22.54387108065454</v>
      </c>
      <c r="U196" s="367">
        <f>T195*Data!U149/Data!T149</f>
        <v>23.114775385603828</v>
      </c>
      <c r="V196" s="367">
        <f>U195*Data!V149/Data!U149</f>
        <v>23.666358287548061</v>
      </c>
      <c r="W196" s="367">
        <f>V195*Data!W149/Data!V149</f>
        <v>24.191673813857854</v>
      </c>
      <c r="X196" s="367">
        <f>W195*Data!X149/Data!W149</f>
        <v>24.723633097317347</v>
      </c>
      <c r="Y196" s="367">
        <f>X195*Data!Y149/Data!X149</f>
        <v>25.196749317473071</v>
      </c>
      <c r="Z196" s="367">
        <f>Y195*Data!Z149/Data!Y149</f>
        <v>25.800575395372302</v>
      </c>
      <c r="AA196" s="367">
        <f>Z195*Data!AA149/Data!Z149</f>
        <v>26.256906587152134</v>
      </c>
      <c r="AB196" s="367">
        <f>AA195*Data!AB149/Data!AA149</f>
        <v>26.799050133262345</v>
      </c>
      <c r="AC196" s="367">
        <f>AB195*Data!AC149/Data!AB149</f>
        <v>27.431326308245431</v>
      </c>
      <c r="AD196" s="367">
        <f>AC195*Data!AD149/Data!AC149</f>
        <v>28.084392433183286</v>
      </c>
      <c r="AE196" s="367">
        <f>AD195*Data!AE149/Data!AD149</f>
        <v>28.55512764485173</v>
      </c>
      <c r="AF196" s="367">
        <f>AE195*Data!AF149/Data!AE149</f>
        <v>29.102099805736366</v>
      </c>
      <c r="AG196" s="367">
        <f>AF195*Data!AG149/Data!AF149</f>
        <v>29.66026031019576</v>
      </c>
      <c r="AH196" s="367">
        <f>AG195*Data!AH149/Data!AG149</f>
        <v>30.341242473975544</v>
      </c>
      <c r="AI196" s="367">
        <f>AH195*Data!AI149/Data!AH149</f>
        <v>30.783314829290326</v>
      </c>
      <c r="AJ196" s="367">
        <f>AI195*Data!AJ149/Data!AI149</f>
        <v>31.361863494040364</v>
      </c>
    </row>
    <row r="197" spans="2:40">
      <c r="B197" s="380" t="s">
        <v>1287</v>
      </c>
      <c r="C197" s="5">
        <v>15.8</v>
      </c>
      <c r="D197" s="5">
        <f>C197+(($AJ$197-$C$197)/(2050-2017))</f>
        <v>15.72793124762307</v>
      </c>
      <c r="E197" s="5">
        <f t="shared" ref="E197:AI197" si="16">D197+(($AJ$197-$C$197)/(2050-2017))</f>
        <v>15.65586249524614</v>
      </c>
      <c r="F197" s="5">
        <f t="shared" si="16"/>
        <v>15.58379374286921</v>
      </c>
      <c r="G197" s="5">
        <f t="shared" si="16"/>
        <v>15.511724990492279</v>
      </c>
      <c r="H197" s="5">
        <f t="shared" si="16"/>
        <v>15.439656238115349</v>
      </c>
      <c r="I197" s="5">
        <f t="shared" si="16"/>
        <v>15.367587485738419</v>
      </c>
      <c r="J197" s="5">
        <f t="shared" si="16"/>
        <v>15.295518733361488</v>
      </c>
      <c r="K197" s="5">
        <f t="shared" si="16"/>
        <v>15.223449980984558</v>
      </c>
      <c r="L197" s="5">
        <f t="shared" si="16"/>
        <v>15.151381228607628</v>
      </c>
      <c r="M197" s="5">
        <f t="shared" si="16"/>
        <v>15.079312476230697</v>
      </c>
      <c r="N197" s="5">
        <f t="shared" si="16"/>
        <v>15.007243723853767</v>
      </c>
      <c r="O197" s="5">
        <f t="shared" si="16"/>
        <v>14.935174971476837</v>
      </c>
      <c r="P197" s="5">
        <f t="shared" si="16"/>
        <v>14.863106219099906</v>
      </c>
      <c r="Q197" s="5">
        <f t="shared" si="16"/>
        <v>14.791037466722976</v>
      </c>
      <c r="R197" s="5">
        <f t="shared" si="16"/>
        <v>14.718968714346046</v>
      </c>
      <c r="S197" s="5">
        <f t="shared" si="16"/>
        <v>14.646899961969115</v>
      </c>
      <c r="T197" s="5">
        <f t="shared" si="16"/>
        <v>14.574831209592185</v>
      </c>
      <c r="U197" s="5">
        <f t="shared" si="16"/>
        <v>14.502762457215255</v>
      </c>
      <c r="V197" s="5">
        <f t="shared" si="16"/>
        <v>14.430693704838324</v>
      </c>
      <c r="W197" s="5">
        <f t="shared" si="16"/>
        <v>14.358624952461394</v>
      </c>
      <c r="X197" s="5">
        <f t="shared" si="16"/>
        <v>14.286556200084464</v>
      </c>
      <c r="Y197" s="5">
        <f t="shared" si="16"/>
        <v>14.214487447707533</v>
      </c>
      <c r="Z197" s="5">
        <f t="shared" si="16"/>
        <v>14.142418695330603</v>
      </c>
      <c r="AA197" s="5">
        <f t="shared" si="16"/>
        <v>14.070349942953673</v>
      </c>
      <c r="AB197" s="5">
        <f t="shared" si="16"/>
        <v>13.998281190576742</v>
      </c>
      <c r="AC197" s="5">
        <f t="shared" si="16"/>
        <v>13.926212438199812</v>
      </c>
      <c r="AD197" s="5">
        <f t="shared" si="16"/>
        <v>13.854143685822882</v>
      </c>
      <c r="AE197" s="5">
        <f t="shared" si="16"/>
        <v>13.782074933445951</v>
      </c>
      <c r="AF197" s="5">
        <f t="shared" si="16"/>
        <v>13.710006181069021</v>
      </c>
      <c r="AG197" s="5">
        <f t="shared" si="16"/>
        <v>13.637937428692091</v>
      </c>
      <c r="AH197" s="5">
        <f t="shared" si="16"/>
        <v>13.56586867631516</v>
      </c>
      <c r="AI197" s="5">
        <f t="shared" si="16"/>
        <v>13.49379992393823</v>
      </c>
      <c r="AJ197" s="5">
        <f>C197*Data!AJ149/Data!C149</f>
        <v>13.421731171561321</v>
      </c>
    </row>
    <row r="198" spans="2:40">
      <c r="B198" s="5"/>
    </row>
    <row r="199" spans="2:40">
      <c r="B199" s="424" t="s">
        <v>1013</v>
      </c>
      <c r="C199" s="456">
        <f>E131+(('TX Calculations'!$P$189/'TX Calculations'!$P$191)*H131)</f>
        <v>2534.2825729250503</v>
      </c>
      <c r="D199" s="456">
        <f>TREND($E$125:$E$131,$A$125:$A$131,D163)+(('TX Calculations'!$P$189/'TX Calculations'!$P$191)*TREND('TX SEDS'!$H$125:$H$131,'TX SEDS'!$A$125:$A$131,D163))</f>
        <v>2615.7085479143084</v>
      </c>
      <c r="E199" s="456">
        <f>TREND($E$125:$E$131,$A$125:$A$131,E163)+(('TX Calculations'!$P$189/'TX Calculations'!$P$191)*TREND('TX SEDS'!$H$125:$H$131,'TX SEDS'!$A$125:$A$131,E163))</f>
        <v>2684.5425545751032</v>
      </c>
      <c r="F199" s="456">
        <f>TREND($E$125:$E$131,$A$125:$A$131,F163)+(('TX Calculations'!$P$189/'TX Calculations'!$P$191)*TREND('TX SEDS'!$H$125:$H$131,'TX SEDS'!$A$125:$A$131,F163))</f>
        <v>2753.3765612358984</v>
      </c>
      <c r="G199" s="456">
        <f>TREND($E$125:$E$131,$A$125:$A$131,G163)+(('TX Calculations'!$P$189/'TX Calculations'!$P$191)*TREND('TX SEDS'!$H$125:$H$131,'TX SEDS'!$A$125:$A$131,G163))</f>
        <v>2822.2105678966936</v>
      </c>
      <c r="H199" s="456">
        <f>TREND($E$125:$E$131,$A$125:$A$131,H163)+(('TX Calculations'!$P$189/'TX Calculations'!$P$191)*TREND('TX SEDS'!$H$125:$H$131,'TX SEDS'!$A$125:$A$131,H163))</f>
        <v>2891.044574557488</v>
      </c>
      <c r="I199" s="456">
        <f>TREND($E$125:$E$131,$A$125:$A$131,I163)+(('TX Calculations'!$P$189/'TX Calculations'!$P$191)*TREND('TX SEDS'!$H$125:$H$131,'TX SEDS'!$A$125:$A$131,I163))</f>
        <v>2959.8785812182832</v>
      </c>
      <c r="J199" s="456">
        <f>TREND($E$125:$E$131,$A$125:$A$131,J163)+(('TX Calculations'!$P$189/'TX Calculations'!$P$191)*TREND('TX SEDS'!$H$125:$H$131,'TX SEDS'!$A$125:$A$131,J163))</f>
        <v>3028.7125878790785</v>
      </c>
      <c r="K199" s="456">
        <f>TREND($E$125:$E$131,$A$125:$A$131,K163)+(('TX Calculations'!$P$189/'TX Calculations'!$P$191)*TREND('TX SEDS'!$H$125:$H$131,'TX SEDS'!$A$125:$A$131,K163))</f>
        <v>3097.5465945398732</v>
      </c>
      <c r="L199" s="456">
        <f>TREND($E$125:$E$131,$A$125:$A$131,L163)+(('TX Calculations'!$P$189/'TX Calculations'!$P$191)*TREND('TX SEDS'!$H$125:$H$131,'TX SEDS'!$A$125:$A$131,L163))</f>
        <v>3166.3806012006685</v>
      </c>
      <c r="M199" s="456">
        <f>TREND($E$125:$E$131,$A$125:$A$131,M163)+(('TX Calculations'!$P$189/'TX Calculations'!$P$191)*TREND('TX SEDS'!$H$125:$H$131,'TX SEDS'!$A$125:$A$131,M163))</f>
        <v>3235.2146078614628</v>
      </c>
      <c r="N199" s="456">
        <f>TREND($E$125:$E$131,$A$125:$A$131,N163)+(('TX Calculations'!$P$189/'TX Calculations'!$P$191)*TREND('TX SEDS'!$H$125:$H$131,'TX SEDS'!$A$125:$A$131,N163))</f>
        <v>3304.048614522258</v>
      </c>
      <c r="O199" s="456">
        <f>TREND($E$125:$E$131,$A$125:$A$131,O163)+(('TX Calculations'!$P$189/'TX Calculations'!$P$191)*TREND('TX SEDS'!$H$125:$H$131,'TX SEDS'!$A$125:$A$131,O163))</f>
        <v>3372.8826211830528</v>
      </c>
      <c r="P199" s="456">
        <f>TREND($E$125:$E$131,$A$125:$A$131,P163)+(('TX Calculations'!$P$189/'TX Calculations'!$P$191)*TREND('TX SEDS'!$H$125:$H$131,'TX SEDS'!$A$125:$A$131,P163))</f>
        <v>3441.7166278438481</v>
      </c>
      <c r="Q199" s="456">
        <f>TREND($E$125:$E$131,$A$125:$A$131,Q163)+(('TX Calculations'!$P$189/'TX Calculations'!$P$191)*TREND('TX SEDS'!$H$125:$H$131,'TX SEDS'!$A$125:$A$131,Q163))</f>
        <v>3510.5506345046424</v>
      </c>
      <c r="R199" s="456">
        <f>TREND($E$125:$E$131,$A$125:$A$131,R163)+(('TX Calculations'!$P$189/'TX Calculations'!$P$191)*TREND('TX SEDS'!$H$125:$H$131,'TX SEDS'!$A$125:$A$131,R163))</f>
        <v>3579.3846411654376</v>
      </c>
      <c r="S199" s="456">
        <f>TREND($E$125:$E$131,$A$125:$A$131,S163)+(('TX Calculations'!$P$189/'TX Calculations'!$P$191)*TREND('TX SEDS'!$H$125:$H$131,'TX SEDS'!$A$125:$A$131,S163))</f>
        <v>3648.2186478262329</v>
      </c>
      <c r="T199" s="456">
        <f>TREND($E$125:$E$131,$A$125:$A$131,T163)+(('TX Calculations'!$P$189/'TX Calculations'!$P$191)*TREND('TX SEDS'!$H$125:$H$131,'TX SEDS'!$A$125:$A$131,T163))</f>
        <v>3717.0526544870281</v>
      </c>
      <c r="U199" s="456">
        <f>TREND($E$125:$E$131,$A$125:$A$131,U163)+(('TX Calculations'!$P$189/'TX Calculations'!$P$191)*TREND('TX SEDS'!$H$125:$H$131,'TX SEDS'!$A$125:$A$131,U163))</f>
        <v>3785.8866611478229</v>
      </c>
      <c r="V199" s="456">
        <f>TREND($E$125:$E$131,$A$125:$A$131,V163)+(('TX Calculations'!$P$189/'TX Calculations'!$P$191)*TREND('TX SEDS'!$H$125:$H$131,'TX SEDS'!$A$125:$A$131,V163))</f>
        <v>3854.7206678086172</v>
      </c>
      <c r="W199" s="456">
        <f>TREND($E$125:$E$131,$A$125:$A$131,W163)+(('TX Calculations'!$P$189/'TX Calculations'!$P$191)*TREND('TX SEDS'!$H$125:$H$131,'TX SEDS'!$A$125:$A$131,W163))</f>
        <v>3923.5546744694125</v>
      </c>
      <c r="X199" s="456">
        <f>TREND($E$125:$E$131,$A$125:$A$131,X163)+(('TX Calculations'!$P$189/'TX Calculations'!$P$191)*TREND('TX SEDS'!$H$125:$H$131,'TX SEDS'!$A$125:$A$131,X163))</f>
        <v>3992.3886811302073</v>
      </c>
      <c r="Y199" s="456">
        <f>TREND($E$125:$E$131,$A$125:$A$131,Y163)+(('TX Calculations'!$P$189/'TX Calculations'!$P$191)*TREND('TX SEDS'!$H$125:$H$131,'TX SEDS'!$A$125:$A$131,Y163))</f>
        <v>4061.2226877910025</v>
      </c>
      <c r="Z199" s="456">
        <f>TREND($E$125:$E$131,$A$125:$A$131,Z163)+(('TX Calculations'!$P$189/'TX Calculations'!$P$191)*TREND('TX SEDS'!$H$125:$H$131,'TX SEDS'!$A$125:$A$131,Z163))</f>
        <v>4130.0566944517977</v>
      </c>
      <c r="AA199" s="456">
        <f>TREND($E$125:$E$131,$A$125:$A$131,AA163)+(('TX Calculations'!$P$189/'TX Calculations'!$P$191)*TREND('TX SEDS'!$H$125:$H$131,'TX SEDS'!$A$125:$A$131,AA163))</f>
        <v>4198.8907011125921</v>
      </c>
      <c r="AB199" s="456">
        <f>TREND($E$125:$E$131,$A$125:$A$131,AB163)+(('TX Calculations'!$P$189/'TX Calculations'!$P$191)*TREND('TX SEDS'!$H$125:$H$131,'TX SEDS'!$A$125:$A$131,AB163))</f>
        <v>4267.7247077733873</v>
      </c>
      <c r="AC199" s="456">
        <f>TREND($E$125:$E$131,$A$125:$A$131,AC163)+(('TX Calculations'!$P$189/'TX Calculations'!$P$191)*TREND('TX SEDS'!$H$125:$H$131,'TX SEDS'!$A$125:$A$131,AC163))</f>
        <v>4336.5587144341825</v>
      </c>
      <c r="AD199" s="456">
        <f>TREND($E$125:$E$131,$A$125:$A$131,AD163)+(('TX Calculations'!$P$189/'TX Calculations'!$P$191)*TREND('TX SEDS'!$H$125:$H$131,'TX SEDS'!$A$125:$A$131,AD163))</f>
        <v>4405.3927210949778</v>
      </c>
      <c r="AE199" s="456">
        <f>TREND($E$125:$E$131,$A$125:$A$131,AE163)+(('TX Calculations'!$P$189/'TX Calculations'!$P$191)*TREND('TX SEDS'!$H$125:$H$131,'TX SEDS'!$A$125:$A$131,AE163))</f>
        <v>4474.226727755773</v>
      </c>
      <c r="AF199" s="456">
        <f>TREND($E$125:$E$131,$A$125:$A$131,AF163)+(('TX Calculations'!$P$189/'TX Calculations'!$P$191)*TREND('TX SEDS'!$H$125:$H$131,'TX SEDS'!$A$125:$A$131,AF163))</f>
        <v>4543.0607344165664</v>
      </c>
      <c r="AG199" s="456">
        <f>TREND($E$125:$E$131,$A$125:$A$131,AG163)+(('TX Calculations'!$P$189/'TX Calculations'!$P$191)*TREND('TX SEDS'!$H$125:$H$131,'TX SEDS'!$A$125:$A$131,AG163))</f>
        <v>4611.8947410773617</v>
      </c>
      <c r="AH199" s="456">
        <f>TREND($E$125:$E$131,$A$125:$A$131,AH163)+(('TX Calculations'!$P$189/'TX Calculations'!$P$191)*TREND('TX SEDS'!$H$125:$H$131,'TX SEDS'!$A$125:$A$131,AH163))</f>
        <v>4680.7287477381569</v>
      </c>
      <c r="AI199" s="456">
        <f>TREND($E$125:$E$131,$A$125:$A$131,AI163)+(('TX Calculations'!$P$189/'TX Calculations'!$P$191)*TREND('TX SEDS'!$H$125:$H$131,'TX SEDS'!$A$125:$A$131,AI163))</f>
        <v>4749.5627543989522</v>
      </c>
      <c r="AJ199" s="456">
        <f>TREND($E$125:$E$131,$A$125:$A$131,AJ163)+(('TX Calculations'!$P$189/'TX Calculations'!$P$191)*TREND('TX SEDS'!$H$125:$H$131,'TX SEDS'!$A$125:$A$131,AJ163))</f>
        <v>4818.3967610597474</v>
      </c>
    </row>
    <row r="200" spans="2:40" s="415" customFormat="1">
      <c r="B200" s="435" t="s">
        <v>1262</v>
      </c>
      <c r="C200" s="104">
        <v>2534.2825729250503</v>
      </c>
      <c r="D200" s="367">
        <f>C199*Data!D150/Data!C150</f>
        <v>2725.5808638150352</v>
      </c>
      <c r="E200" s="367">
        <f>D199*Data!E150/Data!D150</f>
        <v>2734.0571916825611</v>
      </c>
      <c r="F200" s="367">
        <f>E199*Data!F150/Data!E150</f>
        <v>2643.20754472626</v>
      </c>
      <c r="G200" s="367">
        <f>F199*Data!G150/Data!F150</f>
        <v>2936.3163050123412</v>
      </c>
      <c r="H200" s="367">
        <f>G199*Data!H150/Data!G150</f>
        <v>2918.0997710885417</v>
      </c>
      <c r="I200" s="367">
        <f>H199*Data!I150/Data!H150</f>
        <v>2957.0829470851227</v>
      </c>
      <c r="J200" s="367">
        <f>I199*Data!J150/Data!I150</f>
        <v>3038.1331777008231</v>
      </c>
      <c r="K200" s="367">
        <f>J199*Data!K150/Data!J150</f>
        <v>3083.9947293373598</v>
      </c>
      <c r="L200" s="367">
        <f>K199*Data!L150/Data!K150</f>
        <v>3136.1875171130655</v>
      </c>
      <c r="M200" s="367">
        <f>L199*Data!M150/Data!L150</f>
        <v>3253.0730271864459</v>
      </c>
      <c r="N200" s="367">
        <f>M199*Data!N150/Data!M150</f>
        <v>3285.9824007146644</v>
      </c>
      <c r="O200" s="367">
        <f>N199*Data!O150/Data!N150</f>
        <v>3374.4174807433928</v>
      </c>
      <c r="P200" s="367">
        <f>O199*Data!P150/Data!O150</f>
        <v>3403.6992376601247</v>
      </c>
      <c r="Q200" s="367">
        <f>P199*Data!Q150/Data!P150</f>
        <v>3491.6391990772127</v>
      </c>
      <c r="R200" s="367">
        <f>Q199*Data!R150/Data!Q150</f>
        <v>3561.4981313677531</v>
      </c>
      <c r="S200" s="367">
        <f>R199*Data!S150/Data!R150</f>
        <v>3617.6544053699513</v>
      </c>
      <c r="T200" s="367">
        <f>S199*Data!T150/Data!S150</f>
        <v>3643.0954457050889</v>
      </c>
      <c r="U200" s="367">
        <f>T199*Data!U150/Data!T150</f>
        <v>3745.6001886837439</v>
      </c>
      <c r="V200" s="367">
        <f>U199*Data!V150/Data!U150</f>
        <v>3827.2217202918787</v>
      </c>
      <c r="W200" s="367">
        <f>V199*Data!W150/Data!V150</f>
        <v>3868.1321591362262</v>
      </c>
      <c r="X200" s="367">
        <f>W199*Data!X150/Data!W150</f>
        <v>3985.1176790650525</v>
      </c>
      <c r="Y200" s="367">
        <f>X199*Data!Y150/Data!X150</f>
        <v>4024.6834987571037</v>
      </c>
      <c r="Z200" s="367">
        <f>Y199*Data!Z150/Data!Y150</f>
        <v>4078.8461801908215</v>
      </c>
      <c r="AA200" s="367">
        <f>Z199*Data!AA150/Data!Z150</f>
        <v>4163.6077384871387</v>
      </c>
      <c r="AB200" s="367">
        <f>AA199*Data!AB150/Data!AA150</f>
        <v>4238.3372051535935</v>
      </c>
      <c r="AC200" s="367">
        <f>AB199*Data!AC150/Data!AB150</f>
        <v>4261.9259108783426</v>
      </c>
      <c r="AD200" s="367">
        <f>AC199*Data!AD150/Data!AC150</f>
        <v>4368.0114427705594</v>
      </c>
      <c r="AE200" s="367">
        <f>AD199*Data!AE150/Data!AD150</f>
        <v>4423.4877194675337</v>
      </c>
      <c r="AF200" s="367">
        <f>AE199*Data!AF150/Data!AE150</f>
        <v>4505.3491120620056</v>
      </c>
      <c r="AG200" s="367">
        <f>AF199*Data!AG150/Data!AF150</f>
        <v>4573.6984220669365</v>
      </c>
      <c r="AH200" s="367">
        <f>AG199*Data!AH150/Data!AG150</f>
        <v>4672.7816044320725</v>
      </c>
      <c r="AI200" s="367">
        <f>AH199*Data!AI150/Data!AH150</f>
        <v>4688.8840095024807</v>
      </c>
      <c r="AJ200" s="367">
        <f>AI199*Data!AJ150/Data!AI150</f>
        <v>4785.5354345600099</v>
      </c>
    </row>
    <row r="201" spans="2:40">
      <c r="B201" s="433" t="s">
        <v>1287</v>
      </c>
      <c r="C201" s="5">
        <v>2534.2825729250503</v>
      </c>
      <c r="D201" s="5">
        <f>C201+(($AJ$201-$C$201)/(2050-2017))</f>
        <v>2584.4319430129863</v>
      </c>
      <c r="E201" s="5">
        <f t="shared" ref="E201:AI201" si="17">D201+(($AJ$201-$C$201)/(2050-2017))</f>
        <v>2634.5813131009222</v>
      </c>
      <c r="F201" s="5">
        <f t="shared" si="17"/>
        <v>2684.7306831888582</v>
      </c>
      <c r="G201" s="5">
        <f t="shared" si="17"/>
        <v>2734.8800532767941</v>
      </c>
      <c r="H201" s="5">
        <f t="shared" si="17"/>
        <v>2785.0294233647301</v>
      </c>
      <c r="I201" s="5">
        <f t="shared" si="17"/>
        <v>2835.178793452666</v>
      </c>
      <c r="J201" s="5">
        <f t="shared" si="17"/>
        <v>2885.328163540602</v>
      </c>
      <c r="K201" s="5">
        <f t="shared" si="17"/>
        <v>2935.4775336285379</v>
      </c>
      <c r="L201" s="5">
        <f t="shared" si="17"/>
        <v>2985.6269037164739</v>
      </c>
      <c r="M201" s="5">
        <f t="shared" si="17"/>
        <v>3035.7762738044098</v>
      </c>
      <c r="N201" s="5">
        <f t="shared" si="17"/>
        <v>3085.9256438923458</v>
      </c>
      <c r="O201" s="5">
        <f t="shared" si="17"/>
        <v>3136.0750139802817</v>
      </c>
      <c r="P201" s="5">
        <f t="shared" si="17"/>
        <v>3186.2243840682177</v>
      </c>
      <c r="Q201" s="5">
        <f t="shared" si="17"/>
        <v>3236.3737541561536</v>
      </c>
      <c r="R201" s="5">
        <f t="shared" si="17"/>
        <v>3286.5231242440896</v>
      </c>
      <c r="S201" s="5">
        <f t="shared" si="17"/>
        <v>3336.6724943320255</v>
      </c>
      <c r="T201" s="5">
        <f t="shared" si="17"/>
        <v>3386.8218644199615</v>
      </c>
      <c r="U201" s="5">
        <f t="shared" si="17"/>
        <v>3436.9712345078974</v>
      </c>
      <c r="V201" s="5">
        <f t="shared" si="17"/>
        <v>3487.1206045958334</v>
      </c>
      <c r="W201" s="5">
        <f t="shared" si="17"/>
        <v>3537.2699746837693</v>
      </c>
      <c r="X201" s="5">
        <f t="shared" si="17"/>
        <v>3587.4193447717053</v>
      </c>
      <c r="Y201" s="5">
        <f t="shared" si="17"/>
        <v>3637.5687148596412</v>
      </c>
      <c r="Z201" s="5">
        <f t="shared" si="17"/>
        <v>3687.7180849475772</v>
      </c>
      <c r="AA201" s="5">
        <f t="shared" si="17"/>
        <v>3737.8674550355131</v>
      </c>
      <c r="AB201" s="5">
        <f t="shared" si="17"/>
        <v>3788.0168251234491</v>
      </c>
      <c r="AC201" s="5">
        <f t="shared" si="17"/>
        <v>3838.166195211385</v>
      </c>
      <c r="AD201" s="5">
        <f t="shared" si="17"/>
        <v>3888.315565299321</v>
      </c>
      <c r="AE201" s="5">
        <f t="shared" si="17"/>
        <v>3938.4649353872569</v>
      </c>
      <c r="AF201" s="5">
        <f t="shared" si="17"/>
        <v>3988.6143054751929</v>
      </c>
      <c r="AG201" s="5">
        <f t="shared" si="17"/>
        <v>4038.7636755631288</v>
      </c>
      <c r="AH201" s="5">
        <f t="shared" si="17"/>
        <v>4088.9130456510647</v>
      </c>
      <c r="AI201" s="5">
        <f t="shared" si="17"/>
        <v>4139.0624157390002</v>
      </c>
      <c r="AJ201" s="5">
        <f>C201*Data!AJ150/Data!C150</f>
        <v>4189.2117858269294</v>
      </c>
    </row>
    <row r="202" spans="2:40">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D202" s="311"/>
      <c r="AE202" s="311"/>
      <c r="AF202" s="311"/>
      <c r="AG202" s="311"/>
      <c r="AH202" s="311"/>
      <c r="AI202" s="311"/>
      <c r="AJ202" s="311"/>
      <c r="AN202" s="319"/>
    </row>
    <row r="203" spans="2:40">
      <c r="B203" s="424" t="s">
        <v>1014</v>
      </c>
      <c r="C203" s="319">
        <v>0</v>
      </c>
      <c r="D203" s="319">
        <v>0</v>
      </c>
      <c r="E203" s="319">
        <f>D203*0</f>
        <v>0</v>
      </c>
      <c r="F203" s="319">
        <f t="shared" ref="F203:AJ203" si="18">E203*0</f>
        <v>0</v>
      </c>
      <c r="G203" s="319">
        <f t="shared" si="18"/>
        <v>0</v>
      </c>
      <c r="H203" s="319">
        <f t="shared" si="18"/>
        <v>0</v>
      </c>
      <c r="I203" s="319">
        <f t="shared" si="18"/>
        <v>0</v>
      </c>
      <c r="J203" s="319">
        <f t="shared" si="18"/>
        <v>0</v>
      </c>
      <c r="K203" s="319">
        <f t="shared" si="18"/>
        <v>0</v>
      </c>
      <c r="L203" s="319">
        <f t="shared" si="18"/>
        <v>0</v>
      </c>
      <c r="M203" s="319">
        <f t="shared" si="18"/>
        <v>0</v>
      </c>
      <c r="N203" s="319">
        <f t="shared" si="18"/>
        <v>0</v>
      </c>
      <c r="O203" s="319">
        <f t="shared" si="18"/>
        <v>0</v>
      </c>
      <c r="P203" s="319">
        <f t="shared" si="18"/>
        <v>0</v>
      </c>
      <c r="Q203" s="319">
        <f t="shared" si="18"/>
        <v>0</v>
      </c>
      <c r="R203" s="319">
        <f t="shared" si="18"/>
        <v>0</v>
      </c>
      <c r="S203" s="319">
        <f t="shared" si="18"/>
        <v>0</v>
      </c>
      <c r="T203" s="319">
        <f t="shared" si="18"/>
        <v>0</v>
      </c>
      <c r="U203" s="319">
        <f t="shared" si="18"/>
        <v>0</v>
      </c>
      <c r="V203" s="319">
        <f t="shared" si="18"/>
        <v>0</v>
      </c>
      <c r="W203" s="319">
        <f t="shared" si="18"/>
        <v>0</v>
      </c>
      <c r="X203" s="319">
        <f t="shared" si="18"/>
        <v>0</v>
      </c>
      <c r="Y203" s="319">
        <f t="shared" si="18"/>
        <v>0</v>
      </c>
      <c r="Z203" s="319">
        <f t="shared" si="18"/>
        <v>0</v>
      </c>
      <c r="AA203" s="319">
        <f t="shared" si="18"/>
        <v>0</v>
      </c>
      <c r="AB203" s="319">
        <f t="shared" si="18"/>
        <v>0</v>
      </c>
      <c r="AC203" s="319">
        <f t="shared" si="18"/>
        <v>0</v>
      </c>
      <c r="AD203" s="319">
        <f t="shared" si="18"/>
        <v>0</v>
      </c>
      <c r="AE203" s="319">
        <f t="shared" si="18"/>
        <v>0</v>
      </c>
      <c r="AF203" s="319">
        <f t="shared" si="18"/>
        <v>0</v>
      </c>
      <c r="AG203" s="319">
        <f t="shared" si="18"/>
        <v>0</v>
      </c>
      <c r="AH203" s="319">
        <f t="shared" si="18"/>
        <v>0</v>
      </c>
      <c r="AI203" s="319">
        <f t="shared" si="18"/>
        <v>0</v>
      </c>
      <c r="AJ203" s="319">
        <f t="shared" si="18"/>
        <v>0</v>
      </c>
    </row>
    <row r="205" spans="2:40">
      <c r="B205" s="424" t="s">
        <v>1268</v>
      </c>
      <c r="C205" s="104">
        <f>F224/1000000000000</f>
        <v>87.764329999999987</v>
      </c>
      <c r="D205" s="104">
        <f>F225/1000000000000</f>
        <v>107.83053700000001</v>
      </c>
      <c r="E205" s="104">
        <f>TREND($F$221:$F$225,$C$221:$C$225,E163)/1000000000000</f>
        <v>97.002078999999995</v>
      </c>
      <c r="F205" s="104">
        <f>TREND($F$221:$F$225,$C$221:$C$225,F163)/1000000000000</f>
        <v>97.476901999999995</v>
      </c>
      <c r="G205" s="104">
        <f t="shared" ref="G205:AJ205" si="19">TREND($F$221:$F$225,$C$221:$C$225,G163)/1000000000000</f>
        <v>97.951724999999996</v>
      </c>
      <c r="H205" s="104">
        <f t="shared" si="19"/>
        <v>98.426547999999997</v>
      </c>
      <c r="I205" s="104">
        <f t="shared" si="19"/>
        <v>98.901370999999997</v>
      </c>
      <c r="J205" s="104">
        <f t="shared" si="19"/>
        <v>99.376193999999998</v>
      </c>
      <c r="K205" s="104">
        <f t="shared" si="19"/>
        <v>99.851016999999999</v>
      </c>
      <c r="L205" s="104">
        <f t="shared" si="19"/>
        <v>100.32584</v>
      </c>
      <c r="M205" s="104">
        <f t="shared" si="19"/>
        <v>100.800663</v>
      </c>
      <c r="N205" s="104">
        <f t="shared" si="19"/>
        <v>101.275486</v>
      </c>
      <c r="O205" s="104">
        <f t="shared" si="19"/>
        <v>101.750309</v>
      </c>
      <c r="P205" s="104">
        <f t="shared" si="19"/>
        <v>102.225132</v>
      </c>
      <c r="Q205" s="104">
        <f t="shared" si="19"/>
        <v>102.699955</v>
      </c>
      <c r="R205" s="104">
        <f t="shared" si="19"/>
        <v>103.174778</v>
      </c>
      <c r="S205" s="104">
        <f t="shared" si="19"/>
        <v>103.649601</v>
      </c>
      <c r="T205" s="104">
        <f t="shared" si="19"/>
        <v>104.124424</v>
      </c>
      <c r="U205" s="104">
        <f t="shared" si="19"/>
        <v>104.59924700000001</v>
      </c>
      <c r="V205" s="104">
        <f t="shared" si="19"/>
        <v>105.07407000000001</v>
      </c>
      <c r="W205" s="104">
        <f t="shared" si="19"/>
        <v>105.54889300000001</v>
      </c>
      <c r="X205" s="104">
        <f t="shared" si="19"/>
        <v>106.02371599999999</v>
      </c>
      <c r="Y205" s="104">
        <f t="shared" si="19"/>
        <v>106.49853899999999</v>
      </c>
      <c r="Z205" s="104">
        <f t="shared" si="19"/>
        <v>106.97336199999999</v>
      </c>
      <c r="AA205" s="104">
        <f t="shared" si="19"/>
        <v>107.448185</v>
      </c>
      <c r="AB205" s="104">
        <f t="shared" si="19"/>
        <v>107.923008</v>
      </c>
      <c r="AC205" s="104">
        <f t="shared" si="19"/>
        <v>108.397831</v>
      </c>
      <c r="AD205" s="104">
        <f t="shared" si="19"/>
        <v>108.872654</v>
      </c>
      <c r="AE205" s="104">
        <f t="shared" si="19"/>
        <v>109.347477</v>
      </c>
      <c r="AF205" s="104">
        <f t="shared" si="19"/>
        <v>109.8223</v>
      </c>
      <c r="AG205" s="104">
        <f t="shared" si="19"/>
        <v>110.297123</v>
      </c>
      <c r="AH205" s="104">
        <f t="shared" si="19"/>
        <v>110.771946</v>
      </c>
      <c r="AI205" s="104">
        <f t="shared" si="19"/>
        <v>111.246769</v>
      </c>
      <c r="AJ205" s="104">
        <f t="shared" si="19"/>
        <v>111.721592</v>
      </c>
    </row>
    <row r="206" spans="2:40" s="311" customFormat="1">
      <c r="B206" s="438"/>
      <c r="C206" s="104">
        <v>87.764329999999987</v>
      </c>
      <c r="D206" s="311">
        <f>C205*'Pipelines &amp; Military'!D114/'Pipelines &amp; Military'!C114</f>
        <v>91.009226039497989</v>
      </c>
      <c r="E206" s="311">
        <f>D205*'Pipelines &amp; Military'!E114/'Pipelines &amp; Military'!D114</f>
        <v>105.75478183980773</v>
      </c>
      <c r="F206" s="311">
        <f>E205*'Pipelines &amp; Military'!F114/'Pipelines &amp; Military'!E114</f>
        <v>94.542306392253693</v>
      </c>
      <c r="G206" s="311">
        <f>F205*'Pipelines &amp; Military'!G114/'Pipelines &amp; Military'!F114</f>
        <v>95.568578435140722</v>
      </c>
      <c r="H206" s="311">
        <f>G205*'Pipelines &amp; Military'!H114/'Pipelines &amp; Military'!G114</f>
        <v>96.14716725423834</v>
      </c>
      <c r="I206" s="311">
        <f>H205*'Pipelines &amp; Military'!I114/'Pipelines &amp; Military'!H114</f>
        <v>97.301039977148307</v>
      </c>
      <c r="J206" s="311">
        <f>I205*'Pipelines &amp; Military'!J114/'Pipelines &amp; Military'!I114</f>
        <v>99.058992274885142</v>
      </c>
      <c r="K206" s="311">
        <f>J205*'Pipelines &amp; Military'!K114/'Pipelines &amp; Military'!J114</f>
        <v>101.20888773214132</v>
      </c>
      <c r="L206" s="311">
        <f>K205*'Pipelines &amp; Military'!L114/'Pipelines &amp; Military'!K114</f>
        <v>100.46812241940238</v>
      </c>
      <c r="M206" s="311">
        <f>L205*'Pipelines &amp; Military'!M114/'Pipelines &amp; Military'!L114</f>
        <v>101.44212893353757</v>
      </c>
      <c r="N206" s="311">
        <f>M205*'Pipelines &amp; Military'!N114/'Pipelines &amp; Military'!M114</f>
        <v>102.16141396888244</v>
      </c>
      <c r="O206" s="311">
        <f>N205*'Pipelines &amp; Military'!O114/'Pipelines &amp; Military'!N114</f>
        <v>102.36433307434083</v>
      </c>
      <c r="P206" s="311">
        <f>O205*'Pipelines &amp; Military'!P114/'Pipelines &amp; Military'!O114</f>
        <v>102.06463836074104</v>
      </c>
      <c r="Q206" s="311">
        <f>P205*'Pipelines &amp; Military'!Q114/'Pipelines &amp; Military'!P114</f>
        <v>102.5841904076574</v>
      </c>
      <c r="R206" s="311">
        <f>Q205*'Pipelines &amp; Military'!R114/'Pipelines &amp; Military'!Q114</f>
        <v>103.76858683821912</v>
      </c>
      <c r="S206" s="311">
        <f>R205*'Pipelines &amp; Military'!S114/'Pipelines &amp; Military'!R114</f>
        <v>103.26667823170041</v>
      </c>
      <c r="T206" s="311">
        <f>S205*'Pipelines &amp; Military'!T114/'Pipelines &amp; Military'!S114</f>
        <v>104.13433577279376</v>
      </c>
      <c r="U206" s="311">
        <f>T205*'Pipelines &amp; Military'!U114/'Pipelines &amp; Military'!T114</f>
        <v>104.32840052610294</v>
      </c>
      <c r="V206" s="311">
        <f>U205*'Pipelines &amp; Military'!V114/'Pipelines &amp; Military'!U114</f>
        <v>104.96173996016354</v>
      </c>
      <c r="W206" s="311">
        <f>V205*'Pipelines &amp; Military'!W114/'Pipelines &amp; Military'!V114</f>
        <v>105.11056325991653</v>
      </c>
      <c r="X206" s="311">
        <f>W205*'Pipelines &amp; Military'!X114/'Pipelines &amp; Military'!W114</f>
        <v>105.98670691527236</v>
      </c>
      <c r="Y206" s="311">
        <f>X205*'Pipelines &amp; Military'!Y114/'Pipelines &amp; Military'!X114</f>
        <v>106.49668468571522</v>
      </c>
      <c r="Z206" s="311">
        <f>Y205*'Pipelines &amp; Military'!Z114/'Pipelines &amp; Military'!Y114</f>
        <v>107.20541865855876</v>
      </c>
      <c r="AA206" s="311">
        <f>Z205*'Pipelines &amp; Military'!AA114/'Pipelines &amp; Military'!Z114</f>
        <v>107.64547430930563</v>
      </c>
      <c r="AB206" s="311">
        <f>AA205*'Pipelines &amp; Military'!AB114/'Pipelines &amp; Military'!AA114</f>
        <v>108.33016696422357</v>
      </c>
      <c r="AC206" s="311">
        <f>AB205*'Pipelines &amp; Military'!AC114/'Pipelines &amp; Military'!AB114</f>
        <v>108.49984439454317</v>
      </c>
      <c r="AD206" s="311">
        <f>AC205*'Pipelines &amp; Military'!AD114/'Pipelines &amp; Military'!AC114</f>
        <v>109.29470908786064</v>
      </c>
      <c r="AE206" s="311">
        <f>AD205*'Pipelines &amp; Military'!AE114/'Pipelines &amp; Military'!AD114</f>
        <v>109.64587210447171</v>
      </c>
      <c r="AF206" s="311">
        <f>AE205*'Pipelines &amp; Military'!AF114/'Pipelines &amp; Military'!AE114</f>
        <v>109.91909517793812</v>
      </c>
      <c r="AG206" s="311">
        <f>AF205*'Pipelines &amp; Military'!AG114/'Pipelines &amp; Military'!AF114</f>
        <v>110.56035829019811</v>
      </c>
      <c r="AH206" s="311">
        <f>AG205*'Pipelines &amp; Military'!AH114/'Pipelines &amp; Military'!AG114</f>
        <v>111.17790405305561</v>
      </c>
      <c r="AI206" s="311">
        <f>AH205*'Pipelines &amp; Military'!AI114/'Pipelines &amp; Military'!AH114</f>
        <v>111.75253480350371</v>
      </c>
      <c r="AJ206" s="311">
        <f>AI205*'Pipelines &amp; Military'!AJ114/'Pipelines &amp; Military'!AI114</f>
        <v>112.18428159313767</v>
      </c>
    </row>
    <row r="207" spans="2:40">
      <c r="B207" s="380" t="s">
        <v>1287</v>
      </c>
      <c r="C207" s="5">
        <v>87.764329999999987</v>
      </c>
      <c r="D207" s="5">
        <f>C207+(($AJ$207-$C$207)/(2050-2017))</f>
        <v>88.097829847771607</v>
      </c>
      <c r="E207" s="5">
        <f t="shared" ref="E207:AI207" si="20">D207+(($AJ$207-$C$207)/(2050-2017))</f>
        <v>88.431329695543226</v>
      </c>
      <c r="F207" s="5">
        <f t="shared" si="20"/>
        <v>88.764829543314846</v>
      </c>
      <c r="G207" s="5">
        <f t="shared" si="20"/>
        <v>89.098329391086466</v>
      </c>
      <c r="H207" s="5">
        <f t="shared" si="20"/>
        <v>89.431829238858086</v>
      </c>
      <c r="I207" s="5">
        <f t="shared" si="20"/>
        <v>89.765329086629706</v>
      </c>
      <c r="J207" s="5">
        <f t="shared" si="20"/>
        <v>90.098828934401325</v>
      </c>
      <c r="K207" s="5">
        <f t="shared" si="20"/>
        <v>90.432328782172945</v>
      </c>
      <c r="L207" s="5">
        <f t="shared" si="20"/>
        <v>90.765828629944565</v>
      </c>
      <c r="M207" s="5">
        <f t="shared" si="20"/>
        <v>91.099328477716185</v>
      </c>
      <c r="N207" s="5">
        <f t="shared" si="20"/>
        <v>91.432828325487804</v>
      </c>
      <c r="O207" s="5">
        <f t="shared" si="20"/>
        <v>91.766328173259424</v>
      </c>
      <c r="P207" s="5">
        <f t="shared" si="20"/>
        <v>92.099828021031044</v>
      </c>
      <c r="Q207" s="5">
        <f t="shared" si="20"/>
        <v>92.433327868802664</v>
      </c>
      <c r="R207" s="5">
        <f t="shared" si="20"/>
        <v>92.766827716574284</v>
      </c>
      <c r="S207" s="5">
        <f t="shared" si="20"/>
        <v>93.100327564345903</v>
      </c>
      <c r="T207" s="5">
        <f t="shared" si="20"/>
        <v>93.433827412117523</v>
      </c>
      <c r="U207" s="5">
        <f t="shared" si="20"/>
        <v>93.767327259889143</v>
      </c>
      <c r="V207" s="5">
        <f t="shared" si="20"/>
        <v>94.100827107660763</v>
      </c>
      <c r="W207" s="5">
        <f t="shared" si="20"/>
        <v>94.434326955432383</v>
      </c>
      <c r="X207" s="5">
        <f t="shared" si="20"/>
        <v>94.767826803204002</v>
      </c>
      <c r="Y207" s="5">
        <f t="shared" si="20"/>
        <v>95.101326650975622</v>
      </c>
      <c r="Z207" s="5">
        <f t="shared" si="20"/>
        <v>95.434826498747242</v>
      </c>
      <c r="AA207" s="5">
        <f t="shared" si="20"/>
        <v>95.768326346518862</v>
      </c>
      <c r="AB207" s="5">
        <f t="shared" si="20"/>
        <v>96.101826194290481</v>
      </c>
      <c r="AC207" s="5">
        <f t="shared" si="20"/>
        <v>96.435326042062101</v>
      </c>
      <c r="AD207" s="5">
        <f t="shared" si="20"/>
        <v>96.768825889833721</v>
      </c>
      <c r="AE207" s="5">
        <f t="shared" si="20"/>
        <v>97.102325737605341</v>
      </c>
      <c r="AF207" s="5">
        <f t="shared" si="20"/>
        <v>97.435825585376961</v>
      </c>
      <c r="AG207" s="5">
        <f t="shared" si="20"/>
        <v>97.76932543314858</v>
      </c>
      <c r="AH207" s="5">
        <f t="shared" si="20"/>
        <v>98.1028252809202</v>
      </c>
      <c r="AI207" s="5">
        <f t="shared" si="20"/>
        <v>98.43632512869182</v>
      </c>
      <c r="AJ207" s="5">
        <f>C207*'Pipelines &amp; Military'!AJ114/'Pipelines &amp; Military'!C114</f>
        <v>98.769824976463482</v>
      </c>
    </row>
    <row r="208" spans="2:40" s="415" customFormat="1">
      <c r="B208" s="434"/>
    </row>
    <row r="209" spans="1:36" s="311" customFormat="1">
      <c r="B209" s="438" t="s">
        <v>1269</v>
      </c>
      <c r="C209" s="440">
        <f>SUM(C165,C172,C175,C185,C191,C195,C199,C203,C205)</f>
        <v>16500.150130000002</v>
      </c>
      <c r="D209" s="440">
        <f t="shared" ref="D209:AJ209" si="21">SUM(D165,D172,D175,D185,D191,D195,D199,D203,D205)</f>
        <v>17326.321105725179</v>
      </c>
      <c r="E209" s="440">
        <f t="shared" si="21"/>
        <v>17062.733484389675</v>
      </c>
      <c r="F209" s="440">
        <f t="shared" si="21"/>
        <v>17825.931573466791</v>
      </c>
      <c r="G209" s="440">
        <f t="shared" si="21"/>
        <v>18229.899567158503</v>
      </c>
      <c r="H209" s="440">
        <f t="shared" si="21"/>
        <v>18634.053515281124</v>
      </c>
      <c r="I209" s="440">
        <f t="shared" si="21"/>
        <v>19038.200496133344</v>
      </c>
      <c r="J209" s="440">
        <f t="shared" si="21"/>
        <v>19442.441983192028</v>
      </c>
      <c r="K209" s="440">
        <f t="shared" si="21"/>
        <v>19846.683134208732</v>
      </c>
      <c r="L209" s="440">
        <f t="shared" si="21"/>
        <v>20250.857760114595</v>
      </c>
      <c r="M209" s="440">
        <f t="shared" si="21"/>
        <v>20654.973141819188</v>
      </c>
      <c r="N209" s="440">
        <f t="shared" si="21"/>
        <v>21059.14871984399</v>
      </c>
      <c r="O209" s="440">
        <f t="shared" si="21"/>
        <v>21463.259520176245</v>
      </c>
      <c r="P209" s="440">
        <f t="shared" si="21"/>
        <v>21867.370734960281</v>
      </c>
      <c r="Q209" s="440">
        <f t="shared" si="21"/>
        <v>22271.48434684379</v>
      </c>
      <c r="R209" s="440">
        <f t="shared" si="21"/>
        <v>22675.581795108068</v>
      </c>
      <c r="S209" s="440">
        <f t="shared" si="21"/>
        <v>23079.69156491158</v>
      </c>
      <c r="T209" s="440">
        <f t="shared" si="21"/>
        <v>23483.822102109523</v>
      </c>
      <c r="U209" s="440">
        <f t="shared" si="21"/>
        <v>23887.911205331198</v>
      </c>
      <c r="V209" s="440">
        <f t="shared" si="21"/>
        <v>24292.058511023999</v>
      </c>
      <c r="W209" s="440">
        <f t="shared" si="21"/>
        <v>24696.253635490699</v>
      </c>
      <c r="X209" s="440">
        <f t="shared" si="21"/>
        <v>25100.411828943677</v>
      </c>
      <c r="Y209" s="440">
        <f t="shared" si="21"/>
        <v>25504.533886682304</v>
      </c>
      <c r="Z209" s="440">
        <f t="shared" si="21"/>
        <v>25908.633183177404</v>
      </c>
      <c r="AA209" s="440">
        <f t="shared" si="21"/>
        <v>26312.768805810665</v>
      </c>
      <c r="AB209" s="440">
        <f t="shared" si="21"/>
        <v>26716.865738810502</v>
      </c>
      <c r="AC209" s="440">
        <f t="shared" si="21"/>
        <v>27120.986541992392</v>
      </c>
      <c r="AD209" s="440">
        <f t="shared" si="21"/>
        <v>27525.10084836265</v>
      </c>
      <c r="AE209" s="440">
        <f t="shared" si="21"/>
        <v>27929.256902348359</v>
      </c>
      <c r="AF209" s="440">
        <f t="shared" si="21"/>
        <v>28333.362202793516</v>
      </c>
      <c r="AG209" s="440">
        <f t="shared" si="21"/>
        <v>28737.50472548879</v>
      </c>
      <c r="AH209" s="440">
        <f t="shared" si="21"/>
        <v>29141.634456185981</v>
      </c>
      <c r="AI209" s="440">
        <f t="shared" si="21"/>
        <v>29545.769451540869</v>
      </c>
      <c r="AJ209" s="440">
        <f t="shared" si="21"/>
        <v>29949.901836969711</v>
      </c>
    </row>
    <row r="210" spans="1:36">
      <c r="A210" s="5" t="s">
        <v>1015</v>
      </c>
      <c r="B210" s="433" t="s">
        <v>1287</v>
      </c>
      <c r="C210" s="319">
        <f>SUM(C168,C173,C177,C187,C189,C193,C197,C201,C203,C207,C183)</f>
        <v>16321.273003999999</v>
      </c>
      <c r="D210" s="319">
        <f t="shared" ref="D210:AJ210" si="22">SUM(D168,D173,D177,D187,D189,D193,D197,D201,D203,D207,D183)</f>
        <v>16408.288842996819</v>
      </c>
      <c r="E210" s="319">
        <f t="shared" si="22"/>
        <v>16495.304681993639</v>
      </c>
      <c r="F210" s="319">
        <f t="shared" si="22"/>
        <v>16582.320520990459</v>
      </c>
      <c r="G210" s="319">
        <f t="shared" si="22"/>
        <v>16669.336359987283</v>
      </c>
      <c r="H210" s="319">
        <f t="shared" si="22"/>
        <v>16756.352198984103</v>
      </c>
      <c r="I210" s="319">
        <f t="shared" si="22"/>
        <v>16843.368037980923</v>
      </c>
      <c r="J210" s="319">
        <f t="shared" si="22"/>
        <v>16930.383876977739</v>
      </c>
      <c r="K210" s="319">
        <f t="shared" si="22"/>
        <v>17017.39971597456</v>
      </c>
      <c r="L210" s="319">
        <f t="shared" si="22"/>
        <v>17104.415554971383</v>
      </c>
      <c r="M210" s="319">
        <f t="shared" si="22"/>
        <v>17191.431393968207</v>
      </c>
      <c r="N210" s="319">
        <f t="shared" si="22"/>
        <v>17278.447232965023</v>
      </c>
      <c r="O210" s="319">
        <f t="shared" si="22"/>
        <v>17365.463071961844</v>
      </c>
      <c r="P210" s="319">
        <f t="shared" si="22"/>
        <v>17452.47891095866</v>
      </c>
      <c r="Q210" s="319">
        <f t="shared" si="22"/>
        <v>17539.494749955484</v>
      </c>
      <c r="R210" s="319">
        <f t="shared" si="22"/>
        <v>17626.510588952307</v>
      </c>
      <c r="S210" s="319">
        <f t="shared" si="22"/>
        <v>17713.526427949124</v>
      </c>
      <c r="T210" s="319">
        <f t="shared" si="22"/>
        <v>17800.542266945948</v>
      </c>
      <c r="U210" s="319">
        <f t="shared" si="22"/>
        <v>17887.558105942768</v>
      </c>
      <c r="V210" s="319">
        <f t="shared" si="22"/>
        <v>17974.573944939584</v>
      </c>
      <c r="W210" s="319">
        <f t="shared" si="22"/>
        <v>18061.589783936408</v>
      </c>
      <c r="X210" s="319">
        <f t="shared" si="22"/>
        <v>18148.605622933224</v>
      </c>
      <c r="Y210" s="319">
        <f t="shared" si="22"/>
        <v>18235.621461930048</v>
      </c>
      <c r="Z210" s="319">
        <f t="shared" si="22"/>
        <v>18322.637300926865</v>
      </c>
      <c r="AA210" s="319">
        <f t="shared" si="22"/>
        <v>18409.653139923688</v>
      </c>
      <c r="AB210" s="319">
        <f t="shared" si="22"/>
        <v>18496.668978920512</v>
      </c>
      <c r="AC210" s="319">
        <f t="shared" si="22"/>
        <v>18583.684817917328</v>
      </c>
      <c r="AD210" s="319">
        <f t="shared" si="22"/>
        <v>18670.700656914149</v>
      </c>
      <c r="AE210" s="319">
        <f t="shared" si="22"/>
        <v>18757.716495910969</v>
      </c>
      <c r="AF210" s="319">
        <f t="shared" si="22"/>
        <v>18844.732334907792</v>
      </c>
      <c r="AG210" s="319">
        <f t="shared" si="22"/>
        <v>18931.748173904612</v>
      </c>
      <c r="AH210" s="319">
        <f t="shared" si="22"/>
        <v>19018.764012901433</v>
      </c>
      <c r="AI210" s="319">
        <f t="shared" si="22"/>
        <v>19105.779851898249</v>
      </c>
      <c r="AJ210" s="319">
        <f t="shared" si="22"/>
        <v>19192.795690895091</v>
      </c>
    </row>
    <row r="215" spans="1:36">
      <c r="I215" s="467" t="s">
        <v>1339</v>
      </c>
      <c r="J215" s="467"/>
      <c r="K215" s="467"/>
      <c r="T215" s="319"/>
    </row>
    <row r="216" spans="1:36">
      <c r="D216" s="5" t="s">
        <v>1264</v>
      </c>
      <c r="F216" s="5" t="s">
        <v>1267</v>
      </c>
      <c r="I216" s="5" t="s">
        <v>1337</v>
      </c>
      <c r="J216" s="5">
        <v>1838402000000</v>
      </c>
      <c r="K216" s="5">
        <f>1037*J216/1000000000000</f>
        <v>1906.4228740000001</v>
      </c>
    </row>
    <row r="217" spans="1:36">
      <c r="C217" s="177">
        <v>2010</v>
      </c>
      <c r="D217" s="177">
        <v>8835957800000000</v>
      </c>
      <c r="F217" s="5">
        <f>'TX O&amp;G'!C58</f>
        <v>82929863000000</v>
      </c>
      <c r="J217" s="5" t="s">
        <v>1335</v>
      </c>
      <c r="K217" s="5" t="s">
        <v>1336</v>
      </c>
    </row>
    <row r="218" spans="1:36">
      <c r="C218" s="177">
        <v>2011</v>
      </c>
      <c r="D218" s="177">
        <v>8595716000000000</v>
      </c>
      <c r="F218" s="5">
        <f>'TX O&amp;G'!C57</f>
        <v>88885411000000</v>
      </c>
      <c r="T218" s="319"/>
    </row>
    <row r="219" spans="1:36">
      <c r="C219" s="177">
        <v>2012</v>
      </c>
      <c r="D219" s="177">
        <v>9168036800000000</v>
      </c>
      <c r="F219" s="5">
        <f>'TX O&amp;G'!C56</f>
        <v>143827731000000</v>
      </c>
      <c r="I219" s="5" t="s">
        <v>1338</v>
      </c>
      <c r="J219" s="5">
        <v>421013000000</v>
      </c>
      <c r="K219" s="5">
        <f>J219*1037/1000000000000</f>
        <v>436.59048100000001</v>
      </c>
    </row>
    <row r="220" spans="1:36">
      <c r="C220" s="177">
        <v>2013</v>
      </c>
      <c r="D220" s="177">
        <v>9653995600000000</v>
      </c>
      <c r="F220" s="5">
        <f>'TX O&amp;G'!C55</f>
        <v>305794323999999.94</v>
      </c>
      <c r="J220" s="5" t="s">
        <v>1335</v>
      </c>
      <c r="K220" s="5" t="s">
        <v>1336</v>
      </c>
    </row>
    <row r="221" spans="1:36">
      <c r="C221" s="177">
        <v>2014</v>
      </c>
      <c r="D221" s="177">
        <v>9977368800000000</v>
      </c>
      <c r="F221" s="5">
        <f>'TX O&amp;G'!C54</f>
        <v>105246544000000</v>
      </c>
    </row>
    <row r="222" spans="1:36">
      <c r="C222" s="177">
        <v>2015</v>
      </c>
      <c r="D222" s="177">
        <v>1.03053124E+16</v>
      </c>
      <c r="F222" s="5">
        <f>'TX O&amp;G'!C53</f>
        <v>88184086000000</v>
      </c>
    </row>
    <row r="223" spans="1:36">
      <c r="C223" s="177">
        <v>2016</v>
      </c>
      <c r="D223" s="177">
        <v>1.02954002E+16</v>
      </c>
      <c r="F223" s="5">
        <f>'TX O&amp;G'!C52</f>
        <v>88862553000000</v>
      </c>
    </row>
    <row r="224" spans="1:36">
      <c r="C224" s="177">
        <v>2017</v>
      </c>
      <c r="D224" s="177">
        <v>1.05420858E+16</v>
      </c>
      <c r="F224" s="5">
        <f>'TX O&amp;G'!C51</f>
        <v>87764329999999.984</v>
      </c>
    </row>
    <row r="225" spans="3:6">
      <c r="C225" s="177">
        <v>2018</v>
      </c>
      <c r="D225" s="177">
        <v>1.11879796E+16</v>
      </c>
      <c r="F225" s="5">
        <f>'TX O&amp;G'!C50</f>
        <v>107830537000000</v>
      </c>
    </row>
    <row r="226" spans="3:6">
      <c r="C226" s="177">
        <v>2019</v>
      </c>
      <c r="D226" s="177">
        <v>1.08039848E+16</v>
      </c>
    </row>
    <row r="249" spans="2:36">
      <c r="B249" s="424" t="s">
        <v>1297</v>
      </c>
      <c r="C249" s="5">
        <v>36.920673808477027</v>
      </c>
      <c r="D249" s="5">
        <v>37.702142160286442</v>
      </c>
      <c r="E249" s="5">
        <v>38.329111730387659</v>
      </c>
      <c r="F249" s="5">
        <v>39.449717721707387</v>
      </c>
      <c r="G249" s="5">
        <v>38.640888432695107</v>
      </c>
      <c r="H249" s="5">
        <v>38.716832647376542</v>
      </c>
      <c r="I249" s="5">
        <v>38.524459738046517</v>
      </c>
      <c r="J249" s="5">
        <v>38.286953175073137</v>
      </c>
      <c r="K249" s="5">
        <v>37.722902463692691</v>
      </c>
      <c r="L249" s="5">
        <v>37.389407458097565</v>
      </c>
      <c r="M249" s="5">
        <v>37.414441063674488</v>
      </c>
      <c r="N249" s="5">
        <v>37.501457494059203</v>
      </c>
      <c r="O249" s="5">
        <v>37.416143868704019</v>
      </c>
      <c r="P249" s="5">
        <v>37.329124896271537</v>
      </c>
      <c r="Q249" s="5">
        <v>37.374502036084536</v>
      </c>
      <c r="R249" s="5">
        <v>37.321180936259843</v>
      </c>
      <c r="S249" s="5">
        <v>37.131862767953159</v>
      </c>
      <c r="T249" s="5">
        <v>37.156873927178559</v>
      </c>
      <c r="U249" s="5">
        <v>37.154787798568307</v>
      </c>
      <c r="V249" s="5">
        <v>37.137048426264762</v>
      </c>
      <c r="W249" s="5">
        <v>37.311968978193327</v>
      </c>
      <c r="X249" s="5">
        <v>37.349633727293536</v>
      </c>
      <c r="Y249" s="5">
        <v>37.19251007766912</v>
      </c>
      <c r="Z249" s="5">
        <v>37.193107986931921</v>
      </c>
      <c r="AA249" s="5">
        <v>37.252277080089549</v>
      </c>
      <c r="AB249" s="5">
        <v>37.401760139637076</v>
      </c>
      <c r="AC249" s="5">
        <v>37.402733752997882</v>
      </c>
      <c r="AD249" s="5">
        <v>37.563940181665814</v>
      </c>
      <c r="AE249" s="5">
        <v>37.641433975209374</v>
      </c>
      <c r="AF249" s="5">
        <v>37.845322307668262</v>
      </c>
      <c r="AG249" s="5">
        <v>37.842558521428607</v>
      </c>
      <c r="AH249" s="5">
        <v>37.908746417997101</v>
      </c>
      <c r="AI249" s="5">
        <v>37.674722114617744</v>
      </c>
      <c r="AJ249" s="5">
        <v>37.69903347553624</v>
      </c>
    </row>
    <row r="250" spans="2:36">
      <c r="C250" s="5">
        <f>C249*1000000000000000</f>
        <v>3.6920673808477024E+16</v>
      </c>
      <c r="D250" s="5">
        <f t="shared" ref="D250:AJ250" si="23">D249*1000000000000000</f>
        <v>3.770214216028644E+16</v>
      </c>
      <c r="E250" s="5">
        <f t="shared" si="23"/>
        <v>3.8329111730387656E+16</v>
      </c>
      <c r="F250" s="5">
        <f t="shared" si="23"/>
        <v>3.9449717721707384E+16</v>
      </c>
      <c r="G250" s="5">
        <f t="shared" si="23"/>
        <v>3.8640888432695104E+16</v>
      </c>
      <c r="H250" s="5">
        <f t="shared" si="23"/>
        <v>3.8716832647376544E+16</v>
      </c>
      <c r="I250" s="5">
        <f t="shared" si="23"/>
        <v>3.852445973804652E+16</v>
      </c>
      <c r="J250" s="5">
        <f t="shared" si="23"/>
        <v>3.8286953175073136E+16</v>
      </c>
      <c r="K250" s="5">
        <f t="shared" si="23"/>
        <v>3.7722902463692688E+16</v>
      </c>
      <c r="L250" s="5">
        <f t="shared" si="23"/>
        <v>3.7389407458097568E+16</v>
      </c>
      <c r="M250" s="5">
        <f t="shared" si="23"/>
        <v>3.7414441063674488E+16</v>
      </c>
      <c r="N250" s="5">
        <f t="shared" si="23"/>
        <v>3.75014574940592E+16</v>
      </c>
      <c r="O250" s="5">
        <f t="shared" si="23"/>
        <v>3.7416143868704016E+16</v>
      </c>
      <c r="P250" s="5">
        <f t="shared" si="23"/>
        <v>3.7329124896271536E+16</v>
      </c>
      <c r="Q250" s="5">
        <f t="shared" si="23"/>
        <v>3.7374502036084536E+16</v>
      </c>
      <c r="R250" s="5">
        <f t="shared" si="23"/>
        <v>3.732118093625984E+16</v>
      </c>
      <c r="S250" s="5">
        <f t="shared" si="23"/>
        <v>3.713186276795316E+16</v>
      </c>
      <c r="T250" s="5">
        <f t="shared" si="23"/>
        <v>3.715687392717856E+16</v>
      </c>
      <c r="U250" s="5">
        <f t="shared" si="23"/>
        <v>3.7154787798568304E+16</v>
      </c>
      <c r="V250" s="5">
        <f t="shared" si="23"/>
        <v>3.713704842626476E+16</v>
      </c>
      <c r="W250" s="5">
        <f t="shared" si="23"/>
        <v>3.7311968978193328E+16</v>
      </c>
      <c r="X250" s="5">
        <f t="shared" si="23"/>
        <v>3.7349633727293536E+16</v>
      </c>
      <c r="Y250" s="5">
        <f t="shared" si="23"/>
        <v>3.719251007766912E+16</v>
      </c>
      <c r="Z250" s="5">
        <f t="shared" si="23"/>
        <v>3.719310798693192E+16</v>
      </c>
      <c r="AA250" s="5">
        <f t="shared" si="23"/>
        <v>3.7252277080089552E+16</v>
      </c>
      <c r="AB250" s="5">
        <f t="shared" si="23"/>
        <v>3.740176013963708E+16</v>
      </c>
      <c r="AC250" s="5">
        <f t="shared" si="23"/>
        <v>3.740273375299788E+16</v>
      </c>
      <c r="AD250" s="5">
        <f t="shared" si="23"/>
        <v>3.7563940181665816E+16</v>
      </c>
      <c r="AE250" s="5">
        <f t="shared" si="23"/>
        <v>3.7641433975209376E+16</v>
      </c>
      <c r="AF250" s="5">
        <f t="shared" si="23"/>
        <v>3.7845322307668264E+16</v>
      </c>
      <c r="AG250" s="5">
        <f t="shared" si="23"/>
        <v>3.7842558521428608E+16</v>
      </c>
      <c r="AH250" s="5">
        <f t="shared" si="23"/>
        <v>3.7908746417997104E+16</v>
      </c>
      <c r="AI250" s="5">
        <f t="shared" si="23"/>
        <v>3.7674722114617744E+16</v>
      </c>
      <c r="AJ250" s="5">
        <f t="shared" si="23"/>
        <v>3.769903347553624E+16</v>
      </c>
    </row>
    <row r="252" spans="2:36">
      <c r="C252" s="5">
        <f>D226/D217</f>
        <v>1.2227293344474779</v>
      </c>
      <c r="D252" s="5">
        <f>AJ250/C250</f>
        <v>1.0210819464210457</v>
      </c>
    </row>
    <row r="253" spans="2:36">
      <c r="B253" s="442"/>
      <c r="C253" s="26" t="s">
        <v>1298</v>
      </c>
      <c r="D253" s="26" t="s">
        <v>1299</v>
      </c>
      <c r="E253" s="26"/>
      <c r="F253" s="26"/>
      <c r="G253" s="26"/>
      <c r="H253" s="26"/>
      <c r="I253" s="26"/>
      <c r="J253" s="26"/>
      <c r="K253" s="26"/>
      <c r="L253" s="26"/>
      <c r="M253" s="26"/>
      <c r="N253" s="26"/>
    </row>
    <row r="254" spans="2:36">
      <c r="B254" s="442"/>
      <c r="C254" s="26"/>
      <c r="D254" s="26"/>
      <c r="E254" s="26"/>
      <c r="F254" s="26"/>
      <c r="G254" s="26"/>
      <c r="H254" s="26"/>
      <c r="I254" s="26"/>
      <c r="J254" s="26"/>
      <c r="K254" s="26"/>
      <c r="L254" s="26"/>
      <c r="M254" s="26"/>
      <c r="N254" s="26"/>
    </row>
    <row r="255" spans="2:36">
      <c r="B255" s="441"/>
      <c r="C255" s="441"/>
      <c r="D255" s="441"/>
      <c r="E255" s="441"/>
      <c r="F255" s="441"/>
      <c r="G255" s="441"/>
      <c r="H255" s="441"/>
      <c r="I255" s="441"/>
      <c r="J255" s="441"/>
      <c r="K255" s="441"/>
      <c r="L255" s="441"/>
      <c r="M255" s="441"/>
      <c r="N255" s="441"/>
    </row>
    <row r="256" spans="2:36" s="18" customFormat="1">
      <c r="B256" s="455" t="s">
        <v>1300</v>
      </c>
      <c r="C256" s="36">
        <v>1.627453</v>
      </c>
      <c r="D256" s="36">
        <v>1.8070040000000001</v>
      </c>
      <c r="E256" s="36">
        <v>1.939764</v>
      </c>
      <c r="F256" s="36">
        <v>2.0253429999999999</v>
      </c>
      <c r="G256" s="36">
        <v>2.0708859999999998</v>
      </c>
      <c r="H256" s="36">
        <v>2.1089039999999999</v>
      </c>
      <c r="I256" s="36">
        <v>2.138973</v>
      </c>
      <c r="J256" s="36">
        <v>2.1718630000000001</v>
      </c>
      <c r="K256" s="36">
        <v>2.2022780000000002</v>
      </c>
      <c r="L256" s="36">
        <v>2.2560820000000001</v>
      </c>
      <c r="M256" s="36">
        <v>2.2753489999999998</v>
      </c>
      <c r="N256" s="36">
        <v>2.2911000000000001</v>
      </c>
      <c r="O256" s="18">
        <v>2.2974600000000001</v>
      </c>
      <c r="P256" s="18">
        <v>2.3020870000000002</v>
      </c>
      <c r="Q256" s="18">
        <v>2.319197</v>
      </c>
      <c r="R256" s="18">
        <v>2.33494</v>
      </c>
      <c r="S256" s="18">
        <v>2.3408570000000002</v>
      </c>
      <c r="T256" s="18">
        <v>2.3562150000000002</v>
      </c>
      <c r="U256" s="18">
        <v>2.366606</v>
      </c>
      <c r="V256" s="18">
        <v>2.3871859999999998</v>
      </c>
      <c r="W256" s="18">
        <v>2.3990770000000001</v>
      </c>
      <c r="X256" s="18">
        <v>2.4199709999999999</v>
      </c>
      <c r="Y256" s="18">
        <v>2.4342619999999999</v>
      </c>
      <c r="Z256" s="18">
        <v>2.456324</v>
      </c>
      <c r="AA256" s="18">
        <v>2.452296</v>
      </c>
      <c r="AB256" s="18">
        <v>2.4544139999999999</v>
      </c>
      <c r="AC256" s="18">
        <v>2.4459590000000002</v>
      </c>
      <c r="AD256" s="18">
        <v>2.4473669999999998</v>
      </c>
      <c r="AE256" s="18">
        <v>2.4416449999999998</v>
      </c>
      <c r="AF256" s="18">
        <v>2.4383910000000002</v>
      </c>
      <c r="AG256" s="18">
        <v>2.4294799999999999</v>
      </c>
      <c r="AH256" s="18">
        <v>2.4306079999999999</v>
      </c>
      <c r="AI256" s="18">
        <v>2.4204110000000001</v>
      </c>
      <c r="AJ256" s="18">
        <v>2.4211450000000001</v>
      </c>
    </row>
    <row r="257" spans="2:14">
      <c r="B257" s="441"/>
      <c r="C257" s="441"/>
      <c r="D257" s="441"/>
      <c r="E257" s="441"/>
      <c r="F257" s="441"/>
      <c r="G257" s="441"/>
      <c r="H257" s="441"/>
      <c r="I257" s="441"/>
      <c r="J257" s="441"/>
      <c r="K257" s="441"/>
      <c r="L257" s="441"/>
      <c r="M257" s="441"/>
      <c r="N257" s="441"/>
    </row>
    <row r="258" spans="2:14">
      <c r="B258" s="441"/>
      <c r="C258" s="441">
        <f>AJ256/C256</f>
        <v>1.4876896598550005</v>
      </c>
      <c r="D258" s="441">
        <f>AJ207/C207</f>
        <v>1.1253982680260135</v>
      </c>
      <c r="E258" s="441"/>
      <c r="F258" s="441"/>
      <c r="G258" s="441"/>
      <c r="H258" s="441"/>
      <c r="I258" s="441"/>
      <c r="J258" s="441"/>
      <c r="K258" s="441"/>
      <c r="L258" s="441"/>
      <c r="M258" s="441"/>
      <c r="N258" s="441"/>
    </row>
    <row r="259" spans="2:14">
      <c r="B259" s="441"/>
      <c r="C259" s="441" t="s">
        <v>1301</v>
      </c>
      <c r="D259" s="441"/>
      <c r="E259" s="441"/>
      <c r="F259" s="441"/>
      <c r="G259" s="441"/>
      <c r="H259" s="441"/>
      <c r="I259" s="441"/>
      <c r="J259" s="441"/>
      <c r="K259" s="441"/>
      <c r="L259" s="441"/>
      <c r="M259" s="441"/>
      <c r="N259" s="441"/>
    </row>
    <row r="260" spans="2:14">
      <c r="B260" s="443"/>
      <c r="C260" s="443"/>
      <c r="D260" s="443"/>
      <c r="E260" s="443"/>
      <c r="F260" s="441"/>
      <c r="G260" s="441"/>
      <c r="H260" s="441"/>
      <c r="I260" s="441"/>
      <c r="J260" s="441"/>
      <c r="K260" s="441"/>
      <c r="L260" s="441"/>
      <c r="M260" s="441"/>
      <c r="N260" s="441"/>
    </row>
    <row r="261" spans="2:14">
      <c r="B261" s="443"/>
      <c r="C261" s="443"/>
      <c r="D261" s="443"/>
      <c r="E261" s="443"/>
      <c r="F261" s="444"/>
      <c r="G261" s="441"/>
      <c r="H261" s="441"/>
      <c r="I261" s="441"/>
      <c r="J261" s="441"/>
      <c r="K261" s="441"/>
      <c r="L261" s="441"/>
      <c r="M261" s="441"/>
      <c r="N261" s="441"/>
    </row>
    <row r="262" spans="2:14">
      <c r="B262" s="443"/>
      <c r="C262" s="443"/>
      <c r="D262" s="443"/>
      <c r="E262" s="443"/>
      <c r="F262" s="444"/>
      <c r="G262" s="441"/>
      <c r="H262" s="441"/>
      <c r="I262" s="441"/>
      <c r="J262" s="441"/>
      <c r="K262" s="441"/>
      <c r="L262" s="441"/>
      <c r="M262" s="441"/>
      <c r="N262" s="441"/>
    </row>
    <row r="263" spans="2:14">
      <c r="B263" s="443"/>
      <c r="C263" s="443"/>
      <c r="D263" s="443"/>
      <c r="E263" s="443"/>
      <c r="F263" s="444"/>
      <c r="G263" s="441"/>
      <c r="H263" s="441"/>
      <c r="I263" s="441"/>
      <c r="J263" s="441"/>
      <c r="K263" s="441"/>
      <c r="L263" s="441"/>
      <c r="M263" s="441"/>
      <c r="N263" s="441"/>
    </row>
    <row r="264" spans="2:14">
      <c r="B264" s="443"/>
      <c r="C264" s="443"/>
      <c r="D264" s="443"/>
      <c r="E264" s="443"/>
      <c r="F264" s="444"/>
      <c r="G264" s="441"/>
      <c r="H264" s="441"/>
      <c r="I264" s="441"/>
      <c r="J264" s="441"/>
      <c r="K264" s="441"/>
      <c r="L264" s="441"/>
      <c r="M264" s="441"/>
      <c r="N264" s="441"/>
    </row>
    <row r="265" spans="2:14">
      <c r="B265" s="443"/>
      <c r="C265" s="443"/>
      <c r="D265" s="443"/>
      <c r="E265" s="443"/>
      <c r="F265" s="444"/>
      <c r="G265" s="441"/>
      <c r="H265" s="441"/>
      <c r="I265" s="441"/>
      <c r="J265" s="441"/>
      <c r="K265" s="441"/>
      <c r="L265" s="441"/>
      <c r="M265" s="441"/>
      <c r="N265" s="441"/>
    </row>
    <row r="266" spans="2:14">
      <c r="B266" s="443"/>
      <c r="C266" s="443"/>
      <c r="D266" s="443"/>
      <c r="E266" s="443"/>
      <c r="F266" s="444"/>
      <c r="G266" s="441"/>
      <c r="H266" s="441"/>
      <c r="I266" s="441"/>
      <c r="J266" s="441"/>
      <c r="K266" s="441"/>
      <c r="L266" s="441"/>
      <c r="M266" s="441"/>
      <c r="N266" s="441"/>
    </row>
    <row r="267" spans="2:14">
      <c r="B267" s="443"/>
      <c r="C267" s="443"/>
      <c r="D267" s="443"/>
      <c r="E267" s="443"/>
      <c r="F267" s="444"/>
      <c r="G267" s="441"/>
      <c r="H267" s="441"/>
      <c r="I267" s="441"/>
      <c r="J267" s="441"/>
      <c r="K267" s="441"/>
      <c r="L267" s="441"/>
      <c r="M267" s="441"/>
      <c r="N267" s="441"/>
    </row>
    <row r="268" spans="2:14">
      <c r="B268" s="443"/>
      <c r="C268" s="443"/>
      <c r="D268" s="443"/>
      <c r="E268" s="443"/>
      <c r="F268" s="444"/>
      <c r="G268" s="441"/>
      <c r="H268" s="441"/>
      <c r="I268" s="441"/>
      <c r="J268" s="441"/>
      <c r="K268" s="441"/>
      <c r="L268" s="441"/>
      <c r="M268" s="441"/>
      <c r="N268" s="441"/>
    </row>
    <row r="269" spans="2:14">
      <c r="B269" s="443"/>
      <c r="C269" s="443"/>
      <c r="D269" s="443"/>
      <c r="E269" s="443"/>
      <c r="F269" s="444"/>
      <c r="G269" s="441"/>
      <c r="H269" s="441"/>
      <c r="I269" s="441"/>
      <c r="J269" s="441"/>
      <c r="K269" s="441"/>
      <c r="L269" s="441"/>
      <c r="M269" s="441"/>
      <c r="N269" s="441"/>
    </row>
    <row r="270" spans="2:14">
      <c r="B270" s="443"/>
      <c r="C270" s="443"/>
      <c r="D270" s="443"/>
      <c r="E270" s="443"/>
      <c r="F270" s="444"/>
      <c r="G270" s="441"/>
      <c r="H270" s="441"/>
      <c r="I270" s="441"/>
      <c r="J270" s="441"/>
      <c r="K270" s="441"/>
      <c r="L270" s="441"/>
      <c r="M270" s="441"/>
      <c r="N270" s="441"/>
    </row>
    <row r="271" spans="2:14">
      <c r="B271" s="443"/>
      <c r="C271" s="443"/>
      <c r="D271" s="443"/>
      <c r="E271" s="443"/>
      <c r="F271" s="444"/>
      <c r="G271" s="441"/>
      <c r="H271" s="441"/>
      <c r="I271" s="441"/>
      <c r="J271" s="441"/>
      <c r="K271" s="441"/>
      <c r="L271" s="441"/>
      <c r="M271" s="441"/>
      <c r="N271" s="441"/>
    </row>
    <row r="272" spans="2:14">
      <c r="B272" s="443"/>
      <c r="C272" s="443"/>
      <c r="D272" s="443"/>
      <c r="E272" s="443"/>
      <c r="F272" s="444"/>
      <c r="G272" s="441"/>
      <c r="H272" s="441"/>
      <c r="I272" s="441"/>
      <c r="J272" s="441"/>
      <c r="K272" s="441"/>
      <c r="L272" s="441"/>
      <c r="M272" s="441"/>
      <c r="N272" s="441"/>
    </row>
    <row r="273" spans="2:14">
      <c r="B273" s="443"/>
      <c r="C273" s="443"/>
      <c r="D273" s="443"/>
      <c r="E273" s="443"/>
      <c r="F273" s="444"/>
      <c r="G273" s="441"/>
      <c r="H273" s="441"/>
      <c r="I273" s="441"/>
      <c r="J273" s="441"/>
      <c r="K273" s="441"/>
      <c r="L273" s="441"/>
      <c r="M273" s="441"/>
      <c r="N273" s="441"/>
    </row>
    <row r="274" spans="2:14">
      <c r="B274" s="443"/>
      <c r="C274" s="443"/>
      <c r="D274" s="443"/>
      <c r="E274" s="443"/>
      <c r="F274" s="444"/>
      <c r="G274" s="441"/>
      <c r="H274" s="441"/>
      <c r="I274" s="441"/>
      <c r="J274" s="441"/>
      <c r="K274" s="441"/>
      <c r="L274" s="441"/>
      <c r="M274" s="441"/>
      <c r="N274" s="441"/>
    </row>
    <row r="275" spans="2:14">
      <c r="B275" s="443"/>
      <c r="C275" s="443"/>
      <c r="D275" s="443"/>
      <c r="E275" s="443"/>
      <c r="F275" s="444"/>
      <c r="G275" s="441"/>
      <c r="H275" s="441"/>
      <c r="I275" s="441"/>
      <c r="J275" s="441"/>
      <c r="K275" s="441"/>
      <c r="L275" s="441"/>
      <c r="M275" s="441"/>
      <c r="N275" s="441"/>
    </row>
    <row r="276" spans="2:14">
      <c r="B276" s="443"/>
      <c r="C276" s="443"/>
      <c r="D276" s="443"/>
      <c r="E276" s="443"/>
      <c r="F276" s="444"/>
      <c r="G276" s="441"/>
      <c r="H276" s="441"/>
      <c r="I276" s="441"/>
      <c r="J276" s="441"/>
      <c r="K276" s="441"/>
      <c r="L276" s="441"/>
      <c r="M276" s="441"/>
      <c r="N276" s="441"/>
    </row>
    <row r="277" spans="2:14">
      <c r="B277" s="443"/>
      <c r="C277" s="443"/>
      <c r="D277" s="443"/>
      <c r="E277" s="443"/>
      <c r="F277" s="444"/>
      <c r="G277" s="441"/>
      <c r="H277" s="441"/>
      <c r="I277" s="441"/>
      <c r="J277" s="441"/>
      <c r="K277" s="441"/>
      <c r="L277" s="441"/>
      <c r="M277" s="441"/>
      <c r="N277" s="441"/>
    </row>
    <row r="278" spans="2:14">
      <c r="B278" s="443"/>
      <c r="C278" s="443"/>
      <c r="D278" s="443"/>
      <c r="E278" s="443"/>
      <c r="F278" s="444"/>
      <c r="G278" s="441"/>
      <c r="H278" s="441"/>
      <c r="I278" s="441"/>
      <c r="J278" s="441"/>
      <c r="K278" s="441"/>
      <c r="L278" s="441"/>
      <c r="M278" s="441"/>
      <c r="N278" s="441"/>
    </row>
    <row r="279" spans="2:14">
      <c r="B279" s="443"/>
      <c r="C279" s="443"/>
      <c r="D279" s="443"/>
      <c r="E279" s="443"/>
      <c r="F279" s="444"/>
      <c r="G279" s="441"/>
      <c r="H279" s="441"/>
      <c r="I279" s="441"/>
      <c r="J279" s="441"/>
      <c r="K279" s="441"/>
      <c r="L279" s="441"/>
      <c r="M279" s="441"/>
      <c r="N279" s="441"/>
    </row>
    <row r="280" spans="2:14">
      <c r="B280" s="443"/>
      <c r="C280" s="443"/>
      <c r="D280" s="443"/>
      <c r="E280" s="443"/>
      <c r="F280" s="444"/>
      <c r="G280" s="441"/>
      <c r="H280" s="441"/>
      <c r="I280" s="441"/>
      <c r="J280" s="441"/>
      <c r="K280" s="441"/>
      <c r="L280" s="441"/>
      <c r="M280" s="441"/>
      <c r="N280" s="441"/>
    </row>
    <row r="281" spans="2:14">
      <c r="B281" s="443"/>
      <c r="C281" s="443"/>
      <c r="D281" s="443"/>
      <c r="E281" s="443"/>
      <c r="F281" s="444"/>
      <c r="G281" s="441"/>
      <c r="H281" s="441"/>
      <c r="I281" s="441"/>
      <c r="J281" s="441"/>
      <c r="K281" s="441"/>
      <c r="L281" s="441"/>
      <c r="M281" s="441"/>
      <c r="N281" s="441"/>
    </row>
    <row r="282" spans="2:14">
      <c r="B282" s="443"/>
      <c r="C282" s="443"/>
      <c r="D282" s="443"/>
      <c r="E282" s="443"/>
      <c r="F282" s="444"/>
      <c r="G282" s="441"/>
      <c r="H282" s="441"/>
      <c r="I282" s="441"/>
      <c r="J282" s="441"/>
      <c r="K282" s="441"/>
      <c r="L282" s="441"/>
      <c r="M282" s="441"/>
      <c r="N282" s="441"/>
    </row>
    <row r="283" spans="2:14">
      <c r="B283" s="443"/>
      <c r="C283" s="443"/>
      <c r="D283" s="443"/>
      <c r="E283" s="443"/>
      <c r="F283" s="444"/>
      <c r="G283" s="441"/>
      <c r="H283" s="441"/>
      <c r="I283" s="441"/>
      <c r="J283" s="441"/>
      <c r="K283" s="441"/>
      <c r="L283" s="441"/>
      <c r="M283" s="441"/>
      <c r="N283" s="441"/>
    </row>
    <row r="284" spans="2:14">
      <c r="B284" s="443"/>
      <c r="C284" s="443"/>
      <c r="D284" s="443"/>
      <c r="E284" s="443"/>
      <c r="F284" s="444"/>
      <c r="G284" s="441"/>
      <c r="H284" s="441"/>
      <c r="I284" s="441"/>
      <c r="J284" s="441"/>
      <c r="K284" s="441"/>
      <c r="L284" s="441"/>
      <c r="M284" s="441"/>
      <c r="N284" s="441"/>
    </row>
    <row r="285" spans="2:14">
      <c r="B285" s="443"/>
      <c r="C285" s="443"/>
      <c r="D285" s="443"/>
      <c r="E285" s="443"/>
      <c r="F285" s="444"/>
      <c r="G285" s="441"/>
      <c r="H285" s="441"/>
      <c r="I285" s="441"/>
      <c r="J285" s="441"/>
      <c r="K285" s="441"/>
      <c r="L285" s="441"/>
      <c r="M285" s="441"/>
      <c r="N285" s="441"/>
    </row>
    <row r="286" spans="2:14">
      <c r="B286" s="443"/>
      <c r="C286" s="443"/>
      <c r="D286" s="443"/>
      <c r="E286" s="443"/>
      <c r="F286" s="444"/>
      <c r="G286" s="441"/>
      <c r="H286" s="441"/>
      <c r="I286" s="441"/>
      <c r="J286" s="441"/>
      <c r="K286" s="441"/>
      <c r="L286" s="441"/>
      <c r="M286" s="441"/>
      <c r="N286" s="441"/>
    </row>
    <row r="287" spans="2:14">
      <c r="B287" s="443"/>
      <c r="C287" s="443"/>
      <c r="D287" s="443"/>
      <c r="E287" s="443"/>
      <c r="F287" s="444"/>
      <c r="G287" s="441"/>
      <c r="H287" s="441"/>
      <c r="I287" s="441"/>
      <c r="J287" s="441"/>
      <c r="K287" s="441"/>
      <c r="L287" s="441"/>
      <c r="M287" s="441"/>
      <c r="N287" s="441"/>
    </row>
    <row r="288" spans="2:14">
      <c r="B288" s="443"/>
      <c r="C288" s="443"/>
      <c r="D288" s="443"/>
      <c r="E288" s="443"/>
      <c r="F288" s="444"/>
      <c r="G288" s="441"/>
      <c r="H288" s="441"/>
      <c r="I288" s="441"/>
      <c r="J288" s="441"/>
      <c r="K288" s="441"/>
      <c r="L288" s="441"/>
      <c r="M288" s="441"/>
      <c r="N288" s="441"/>
    </row>
    <row r="289" spans="2:14">
      <c r="B289" s="443"/>
      <c r="C289" s="443"/>
      <c r="D289" s="443"/>
      <c r="E289" s="443"/>
      <c r="F289" s="444"/>
      <c r="G289" s="441"/>
      <c r="H289" s="441"/>
      <c r="I289" s="441"/>
      <c r="J289" s="441"/>
      <c r="K289" s="441"/>
      <c r="L289" s="441"/>
      <c r="M289" s="441"/>
      <c r="N289" s="441"/>
    </row>
    <row r="290" spans="2:14">
      <c r="B290" s="443"/>
      <c r="C290" s="443"/>
      <c r="D290" s="443"/>
      <c r="E290" s="443"/>
      <c r="F290" s="444"/>
      <c r="G290" s="441"/>
      <c r="H290" s="441"/>
      <c r="I290" s="441"/>
      <c r="J290" s="441"/>
      <c r="K290" s="441"/>
      <c r="L290" s="441"/>
      <c r="M290" s="441"/>
      <c r="N290" s="441"/>
    </row>
    <row r="291" spans="2:14">
      <c r="B291" s="443"/>
      <c r="C291" s="443"/>
      <c r="D291" s="443"/>
      <c r="E291" s="443"/>
      <c r="F291" s="444"/>
      <c r="G291" s="441"/>
      <c r="H291" s="441"/>
      <c r="I291" s="441"/>
      <c r="J291" s="441"/>
      <c r="K291" s="441"/>
      <c r="L291" s="441"/>
      <c r="M291" s="441"/>
      <c r="N291" s="441"/>
    </row>
    <row r="292" spans="2:14">
      <c r="B292" s="443"/>
      <c r="C292" s="443"/>
      <c r="D292" s="443"/>
      <c r="E292" s="443"/>
      <c r="F292" s="444"/>
      <c r="G292" s="441"/>
      <c r="H292" s="441"/>
      <c r="I292" s="441"/>
      <c r="J292" s="441"/>
      <c r="K292" s="441"/>
      <c r="L292" s="441"/>
      <c r="M292" s="441"/>
      <c r="N292" s="441"/>
    </row>
    <row r="293" spans="2:14">
      <c r="B293" s="443"/>
      <c r="C293" s="443"/>
      <c r="D293" s="443"/>
      <c r="E293" s="443"/>
      <c r="F293" s="444"/>
      <c r="G293" s="441"/>
      <c r="H293" s="441"/>
      <c r="I293" s="441"/>
      <c r="J293" s="441"/>
      <c r="K293" s="441"/>
      <c r="L293" s="441"/>
      <c r="M293" s="441"/>
      <c r="N293" s="441"/>
    </row>
    <row r="294" spans="2:14">
      <c r="B294" s="443"/>
      <c r="C294" s="443"/>
      <c r="D294" s="443"/>
      <c r="E294" s="443"/>
      <c r="F294" s="444"/>
      <c r="G294" s="441"/>
      <c r="H294" s="441"/>
      <c r="I294" s="441"/>
      <c r="J294" s="441"/>
      <c r="K294" s="441"/>
      <c r="L294" s="441"/>
      <c r="M294" s="441"/>
      <c r="N294" s="441"/>
    </row>
    <row r="295" spans="2:14">
      <c r="B295" s="443"/>
      <c r="C295" s="443"/>
      <c r="D295" s="443"/>
      <c r="E295" s="443"/>
      <c r="F295" s="444"/>
      <c r="G295" s="441"/>
      <c r="H295" s="441"/>
      <c r="I295" s="441"/>
      <c r="J295" s="441"/>
      <c r="K295" s="441"/>
      <c r="L295" s="441"/>
      <c r="M295" s="441"/>
      <c r="N295" s="441"/>
    </row>
    <row r="296" spans="2:14">
      <c r="B296" s="443"/>
      <c r="C296" s="443"/>
      <c r="D296" s="443"/>
      <c r="E296" s="443"/>
      <c r="F296" s="444"/>
      <c r="G296" s="441"/>
      <c r="H296" s="441"/>
      <c r="I296" s="441"/>
      <c r="J296" s="441"/>
      <c r="K296" s="441"/>
      <c r="L296" s="441"/>
      <c r="M296" s="441"/>
      <c r="N296" s="441"/>
    </row>
    <row r="297" spans="2:14">
      <c r="B297" s="443"/>
      <c r="C297" s="443"/>
      <c r="D297" s="443"/>
      <c r="E297" s="443"/>
      <c r="F297" s="444"/>
      <c r="G297" s="441"/>
      <c r="H297" s="441"/>
      <c r="I297" s="441"/>
      <c r="J297" s="441"/>
      <c r="K297" s="441"/>
      <c r="L297" s="441"/>
      <c r="M297" s="441"/>
      <c r="N297" s="441"/>
    </row>
    <row r="298" spans="2:14">
      <c r="B298" s="443"/>
      <c r="C298" s="443"/>
      <c r="D298" s="443"/>
      <c r="E298" s="443"/>
      <c r="F298" s="444"/>
      <c r="G298" s="441"/>
      <c r="H298" s="441"/>
      <c r="I298" s="441"/>
      <c r="J298" s="441"/>
      <c r="K298" s="441"/>
      <c r="L298" s="441"/>
      <c r="M298" s="441"/>
      <c r="N298" s="441"/>
    </row>
    <row r="299" spans="2:14">
      <c r="B299" s="443"/>
      <c r="C299" s="443"/>
      <c r="D299" s="443"/>
      <c r="E299" s="443"/>
      <c r="F299" s="444"/>
      <c r="G299" s="441"/>
      <c r="H299" s="441"/>
      <c r="I299" s="441"/>
      <c r="J299" s="441"/>
      <c r="K299" s="441"/>
      <c r="L299" s="441"/>
      <c r="M299" s="441"/>
      <c r="N299" s="441"/>
    </row>
    <row r="300" spans="2:14">
      <c r="B300" s="443"/>
      <c r="C300" s="443"/>
      <c r="D300" s="443"/>
      <c r="E300" s="443"/>
      <c r="F300" s="444"/>
      <c r="G300" s="441"/>
      <c r="H300" s="441"/>
      <c r="I300" s="441"/>
      <c r="J300" s="441"/>
      <c r="K300" s="441"/>
      <c r="L300" s="441"/>
      <c r="M300" s="441"/>
      <c r="N300" s="441"/>
    </row>
    <row r="301" spans="2:14">
      <c r="B301" s="443"/>
      <c r="C301" s="443"/>
      <c r="D301" s="443"/>
      <c r="E301" s="443"/>
      <c r="F301" s="444"/>
      <c r="G301" s="441"/>
      <c r="H301" s="441"/>
      <c r="I301" s="441"/>
      <c r="J301" s="441"/>
      <c r="K301" s="441"/>
      <c r="L301" s="441"/>
      <c r="M301" s="441"/>
      <c r="N301" s="441"/>
    </row>
    <row r="302" spans="2:14">
      <c r="B302" s="443"/>
      <c r="C302" s="443"/>
      <c r="D302" s="443"/>
      <c r="E302" s="443"/>
      <c r="F302" s="444"/>
      <c r="G302" s="441"/>
      <c r="H302" s="441"/>
      <c r="I302" s="441"/>
      <c r="J302" s="441"/>
      <c r="K302" s="441"/>
      <c r="L302" s="441"/>
      <c r="M302" s="441"/>
      <c r="N302" s="441"/>
    </row>
    <row r="303" spans="2:14">
      <c r="B303" s="443"/>
      <c r="C303" s="443"/>
      <c r="D303" s="443"/>
      <c r="E303" s="443"/>
      <c r="F303" s="444"/>
      <c r="G303" s="441"/>
      <c r="H303" s="441"/>
      <c r="I303" s="441"/>
      <c r="J303" s="441"/>
      <c r="K303" s="441"/>
      <c r="L303" s="441"/>
      <c r="M303" s="441"/>
      <c r="N303" s="441"/>
    </row>
    <row r="304" spans="2:14">
      <c r="B304" s="443"/>
      <c r="C304" s="443"/>
      <c r="D304" s="443"/>
      <c r="E304" s="443"/>
      <c r="F304" s="444"/>
      <c r="G304" s="441"/>
      <c r="H304" s="441"/>
      <c r="I304" s="441"/>
      <c r="J304" s="441"/>
      <c r="K304" s="441"/>
      <c r="L304" s="441"/>
      <c r="M304" s="441"/>
      <c r="N304" s="441"/>
    </row>
    <row r="305" spans="2:14">
      <c r="B305" s="443"/>
      <c r="C305" s="443"/>
      <c r="D305" s="443"/>
      <c r="E305" s="443"/>
      <c r="F305" s="444"/>
      <c r="G305" s="441"/>
      <c r="H305" s="441"/>
      <c r="I305" s="441"/>
      <c r="J305" s="441"/>
      <c r="K305" s="441"/>
      <c r="L305" s="441"/>
      <c r="M305" s="441"/>
      <c r="N305" s="441"/>
    </row>
    <row r="306" spans="2:14">
      <c r="B306" s="443"/>
      <c r="C306" s="443"/>
      <c r="D306" s="443"/>
      <c r="E306" s="443"/>
      <c r="F306" s="444"/>
      <c r="G306" s="441"/>
      <c r="H306" s="441"/>
      <c r="I306" s="441"/>
      <c r="J306" s="441"/>
      <c r="K306" s="441"/>
      <c r="L306" s="441"/>
      <c r="M306" s="441"/>
      <c r="N306" s="441"/>
    </row>
    <row r="307" spans="2:14">
      <c r="B307" s="443"/>
      <c r="C307" s="443"/>
      <c r="D307" s="443"/>
      <c r="E307" s="443"/>
      <c r="F307" s="444"/>
      <c r="G307" s="441"/>
      <c r="H307" s="441"/>
      <c r="I307" s="441"/>
      <c r="J307" s="441"/>
      <c r="K307" s="441"/>
      <c r="L307" s="441"/>
      <c r="M307" s="441"/>
      <c r="N307" s="441"/>
    </row>
    <row r="308" spans="2:14">
      <c r="B308" s="145"/>
      <c r="C308" s="145"/>
      <c r="D308" s="145"/>
      <c r="E308" s="145"/>
      <c r="F308" s="145"/>
      <c r="G308" s="145"/>
      <c r="H308" s="145"/>
      <c r="I308" s="145"/>
      <c r="J308" s="145"/>
      <c r="K308" s="145"/>
      <c r="L308" s="145"/>
      <c r="M308" s="145"/>
      <c r="N308" s="145"/>
    </row>
  </sheetData>
  <autoFilter ref="Z122:AD146">
    <sortState ref="Z123:AD146">
      <sortCondition ref="Z122:Z146"/>
    </sortState>
  </autoFilter>
  <mergeCells count="18">
    <mergeCell ref="Y119:AE120"/>
    <mergeCell ref="B9:B10"/>
    <mergeCell ref="C9:C10"/>
    <mergeCell ref="D9:I9"/>
    <mergeCell ref="J9:J10"/>
    <mergeCell ref="K9:L10"/>
    <mergeCell ref="D11:I11"/>
    <mergeCell ref="A71:R72"/>
    <mergeCell ref="A9:A11"/>
    <mergeCell ref="B141:R142"/>
    <mergeCell ref="B144:R146"/>
    <mergeCell ref="M9:M11"/>
    <mergeCell ref="N9:N10"/>
    <mergeCell ref="O9:O10"/>
    <mergeCell ref="P9:P11"/>
    <mergeCell ref="Q9:Q11"/>
    <mergeCell ref="R9:R11"/>
    <mergeCell ref="N11:O11"/>
  </mergeCells>
  <hyperlinks>
    <hyperlink ref="A7" r:id="rId1"/>
    <hyperlink ref="B150" r:id="rId2"/>
  </hyperlinks>
  <pageMargins left="0.7" right="0.7" top="0.75" bottom="0.75" header="0.3" footer="0.3"/>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63"/>
  <sheetViews>
    <sheetView topLeftCell="A369" zoomScale="75" zoomScaleNormal="75" workbookViewId="0">
      <selection activeCell="AH279" sqref="AH279"/>
    </sheetView>
  </sheetViews>
  <sheetFormatPr defaultColWidth="10.6640625" defaultRowHeight="14.25"/>
  <cols>
    <col min="1" max="1" width="13.1328125" style="5" customWidth="1"/>
    <col min="2" max="3" width="11" style="5" bestFit="1" customWidth="1"/>
    <col min="4" max="4" width="12.33203125" style="5" customWidth="1"/>
    <col min="5" max="5" width="11.796875" style="5" bestFit="1" customWidth="1"/>
    <col min="6" max="6" width="12.796875" style="5" bestFit="1" customWidth="1"/>
    <col min="7" max="7" width="12.33203125" style="5" bestFit="1" customWidth="1"/>
    <col min="8" max="8" width="13.46484375" style="5" bestFit="1" customWidth="1"/>
    <col min="9" max="9" width="12.33203125" style="5" bestFit="1" customWidth="1"/>
    <col min="10" max="10" width="11" style="5" bestFit="1" customWidth="1"/>
    <col min="11" max="11" width="12" style="5" bestFit="1" customWidth="1"/>
    <col min="12" max="12" width="13.6640625" style="5" customWidth="1"/>
    <col min="13" max="13" width="11" style="5" bestFit="1" customWidth="1"/>
    <col min="14" max="14" width="11.796875" style="5" bestFit="1" customWidth="1"/>
    <col min="15" max="15" width="11.1328125" style="5" customWidth="1"/>
    <col min="16" max="16" width="11" bestFit="1" customWidth="1"/>
    <col min="17" max="17" width="16.46484375" customWidth="1"/>
    <col min="31" max="33" width="11" bestFit="1" customWidth="1"/>
  </cols>
  <sheetData>
    <row r="1" spans="1:89">
      <c r="A1" s="5" t="s">
        <v>1134</v>
      </c>
    </row>
    <row r="2" spans="1:89">
      <c r="A2" s="5" t="s">
        <v>1141</v>
      </c>
    </row>
    <row r="3" spans="1:89">
      <c r="A3" s="5" t="s">
        <v>1142</v>
      </c>
    </row>
    <row r="4" spans="1:89" s="5" customFormat="1">
      <c r="A4" s="5" t="s">
        <v>1173</v>
      </c>
    </row>
    <row r="5" spans="1:89" s="5" customFormat="1">
      <c r="A5" s="112"/>
    </row>
    <row r="6" spans="1:89" s="5" customFormat="1">
      <c r="A6" s="112"/>
    </row>
    <row r="7" spans="1:89" s="5" customFormat="1">
      <c r="A7" s="273" t="s">
        <v>1164</v>
      </c>
    </row>
    <row r="8" spans="1:89" s="5" customFormat="1">
      <c r="A8" s="6"/>
    </row>
    <row r="9" spans="1:89" s="5" customFormat="1">
      <c r="A9" s="5" t="s">
        <v>1131</v>
      </c>
    </row>
    <row r="10" spans="1:89" s="5" customFormat="1">
      <c r="A10" s="5" t="s">
        <v>1132</v>
      </c>
    </row>
    <row r="11" spans="1:89" s="5" customFormat="1"/>
    <row r="12" spans="1:89" s="5" customFormat="1">
      <c r="A12" s="5" t="s">
        <v>1150</v>
      </c>
    </row>
    <row r="13" spans="1:89" s="5" customFormat="1"/>
    <row r="14" spans="1:89" s="5" customFormat="1">
      <c r="BM14" s="488" t="s">
        <v>1272</v>
      </c>
      <c r="BN14" s="489"/>
      <c r="BO14" s="489"/>
      <c r="BP14" s="489"/>
      <c r="BQ14" s="489"/>
      <c r="BR14" s="489"/>
      <c r="BS14" s="489"/>
      <c r="BT14" s="489"/>
      <c r="BU14" s="489"/>
      <c r="BV14" s="489"/>
      <c r="BW14" s="489"/>
      <c r="BX14" s="490"/>
      <c r="BZ14" s="488" t="s">
        <v>1290</v>
      </c>
      <c r="CA14" s="489"/>
      <c r="CB14" s="489"/>
      <c r="CC14" s="489"/>
      <c r="CD14" s="489"/>
      <c r="CE14" s="489"/>
      <c r="CF14" s="489"/>
      <c r="CG14" s="489"/>
      <c r="CH14" s="489"/>
      <c r="CI14" s="489"/>
      <c r="CJ14" s="489"/>
      <c r="CK14" s="490"/>
    </row>
    <row r="15" spans="1:89" s="5" customFormat="1">
      <c r="BM15" s="491"/>
      <c r="BN15" s="492"/>
      <c r="BO15" s="492"/>
      <c r="BP15" s="492"/>
      <c r="BQ15" s="492"/>
      <c r="BR15" s="492"/>
      <c r="BS15" s="492"/>
      <c r="BT15" s="492"/>
      <c r="BU15" s="492"/>
      <c r="BV15" s="492"/>
      <c r="BW15" s="492"/>
      <c r="BX15" s="493"/>
      <c r="BZ15" s="491"/>
      <c r="CA15" s="492"/>
      <c r="CB15" s="492"/>
      <c r="CC15" s="492"/>
      <c r="CD15" s="492"/>
      <c r="CE15" s="492"/>
      <c r="CF15" s="492"/>
      <c r="CG15" s="492"/>
      <c r="CH15" s="492"/>
      <c r="CI15" s="492"/>
      <c r="CJ15" s="492"/>
      <c r="CK15" s="493"/>
    </row>
    <row r="16" spans="1:89" s="5" customFormat="1">
      <c r="BM16" s="491"/>
      <c r="BN16" s="492"/>
      <c r="BO16" s="492"/>
      <c r="BP16" s="492"/>
      <c r="BQ16" s="492"/>
      <c r="BR16" s="492"/>
      <c r="BS16" s="492"/>
      <c r="BT16" s="492"/>
      <c r="BU16" s="492"/>
      <c r="BV16" s="492"/>
      <c r="BW16" s="492"/>
      <c r="BX16" s="493"/>
      <c r="BZ16" s="491"/>
      <c r="CA16" s="492"/>
      <c r="CB16" s="492"/>
      <c r="CC16" s="492"/>
      <c r="CD16" s="492"/>
      <c r="CE16" s="492"/>
      <c r="CF16" s="492"/>
      <c r="CG16" s="492"/>
      <c r="CH16" s="492"/>
      <c r="CI16" s="492"/>
      <c r="CJ16" s="492"/>
      <c r="CK16" s="493"/>
    </row>
    <row r="17" spans="1:115" s="5" customFormat="1">
      <c r="BM17" s="494"/>
      <c r="BN17" s="495"/>
      <c r="BO17" s="495"/>
      <c r="BP17" s="495"/>
      <c r="BQ17" s="495"/>
      <c r="BR17" s="495"/>
      <c r="BS17" s="495"/>
      <c r="BT17" s="495"/>
      <c r="BU17" s="495"/>
      <c r="BV17" s="495"/>
      <c r="BW17" s="495"/>
      <c r="BX17" s="496"/>
      <c r="BZ17" s="494"/>
      <c r="CA17" s="495"/>
      <c r="CB17" s="495"/>
      <c r="CC17" s="495"/>
      <c r="CD17" s="495"/>
      <c r="CE17" s="495"/>
      <c r="CF17" s="495"/>
      <c r="CG17" s="495"/>
      <c r="CH17" s="495"/>
      <c r="CI17" s="495"/>
      <c r="CJ17" s="495"/>
      <c r="CK17" s="496"/>
      <c r="CZ17" s="311"/>
      <c r="DA17" s="311"/>
      <c r="DB17" s="311"/>
      <c r="DC17" s="311"/>
      <c r="DD17" s="311"/>
      <c r="DE17" s="311"/>
      <c r="DF17" s="311"/>
      <c r="DG17" s="311"/>
      <c r="DH17" s="311"/>
      <c r="DI17" s="311"/>
      <c r="DJ17" s="311"/>
      <c r="DK17" s="311"/>
    </row>
    <row r="18" spans="1:115">
      <c r="R18" s="124"/>
      <c r="CZ18" s="311"/>
      <c r="DA18" s="311"/>
      <c r="DB18" s="311"/>
      <c r="DC18" s="311"/>
      <c r="DD18" s="311"/>
      <c r="DE18" s="311"/>
      <c r="DF18" s="311"/>
      <c r="DG18" s="311"/>
      <c r="DH18" s="311"/>
      <c r="DI18" s="311"/>
      <c r="DJ18" s="311"/>
      <c r="DK18" s="311"/>
    </row>
    <row r="19" spans="1:115">
      <c r="BE19" s="5" t="s">
        <v>1052</v>
      </c>
      <c r="BF19" s="5" t="s">
        <v>1052</v>
      </c>
      <c r="BG19" s="5" t="s">
        <v>1027</v>
      </c>
      <c r="BH19" s="5" t="s">
        <v>1053</v>
      </c>
      <c r="BI19" s="5" t="s">
        <v>339</v>
      </c>
      <c r="BJ19" s="5" t="s">
        <v>861</v>
      </c>
      <c r="CZ19" s="311"/>
      <c r="DA19" s="311"/>
      <c r="DB19" s="311"/>
      <c r="DC19" s="311"/>
      <c r="DD19" s="311"/>
      <c r="DE19" s="311"/>
      <c r="DF19" s="311"/>
      <c r="DG19" s="311"/>
      <c r="DH19" s="311"/>
      <c r="DI19" s="311"/>
      <c r="DJ19" s="311"/>
      <c r="DK19" s="311"/>
    </row>
    <row r="20" spans="1:115" ht="15.75">
      <c r="A20" s="104" t="s">
        <v>1064</v>
      </c>
      <c r="B20" s="104"/>
      <c r="C20" s="104"/>
      <c r="D20" s="104"/>
      <c r="E20" s="104"/>
      <c r="F20" s="104"/>
      <c r="G20" s="104"/>
      <c r="H20" s="104"/>
      <c r="I20" s="104"/>
      <c r="J20" s="104"/>
      <c r="K20" s="104"/>
      <c r="L20" s="104"/>
      <c r="M20" s="104"/>
      <c r="P20" t="s">
        <v>1063</v>
      </c>
      <c r="R20" s="120"/>
      <c r="S20" s="120"/>
      <c r="T20" s="121"/>
      <c r="U20" s="120"/>
      <c r="V20" s="120"/>
      <c r="W20" s="121"/>
      <c r="X20" s="120"/>
      <c r="Y20" s="121"/>
      <c r="Z20" s="120"/>
      <c r="AB20" t="s">
        <v>1051</v>
      </c>
      <c r="AO20" t="s">
        <v>1074</v>
      </c>
      <c r="BB20" s="275" t="s">
        <v>1093</v>
      </c>
      <c r="BE20" s="122"/>
      <c r="BF20" s="122"/>
      <c r="BG20" s="122"/>
      <c r="BH20" s="122" t="s">
        <v>590</v>
      </c>
      <c r="BI20" s="122" t="s">
        <v>590</v>
      </c>
      <c r="BJ20" s="122" t="s">
        <v>989</v>
      </c>
      <c r="BM20" s="295" t="s">
        <v>1249</v>
      </c>
      <c r="BZ20" s="295" t="s">
        <v>1270</v>
      </c>
      <c r="CA20" s="5"/>
      <c r="CB20" s="5"/>
      <c r="CC20" s="5"/>
      <c r="CD20" s="5"/>
      <c r="CE20" s="5"/>
      <c r="CF20" s="5"/>
      <c r="CG20" s="5"/>
      <c r="CH20" s="5"/>
      <c r="CI20" s="5"/>
      <c r="CJ20" s="5"/>
      <c r="CK20" s="5"/>
      <c r="CM20" s="296" t="s">
        <v>1220</v>
      </c>
      <c r="CZ20" s="296" t="s">
        <v>1292</v>
      </c>
      <c r="DA20" s="18"/>
      <c r="DB20" s="18"/>
      <c r="DC20" s="18"/>
      <c r="DD20" s="18"/>
      <c r="DE20" s="18"/>
      <c r="DF20" s="18"/>
      <c r="DG20" s="18"/>
      <c r="DH20" s="18"/>
      <c r="DI20" s="18"/>
      <c r="DJ20" s="18"/>
      <c r="DK20" s="18"/>
    </row>
    <row r="21" spans="1:115">
      <c r="A21" s="104"/>
      <c r="B21" s="104"/>
      <c r="C21" s="369" t="s">
        <v>590</v>
      </c>
      <c r="D21" s="365"/>
      <c r="E21" s="369" t="s">
        <v>590</v>
      </c>
      <c r="F21" s="359" t="s">
        <v>1147</v>
      </c>
      <c r="G21" s="365"/>
      <c r="H21" s="359" t="s">
        <v>340</v>
      </c>
      <c r="I21" s="359" t="s">
        <v>340</v>
      </c>
      <c r="J21" s="369" t="s">
        <v>590</v>
      </c>
      <c r="K21" s="365"/>
      <c r="L21" s="369" t="s">
        <v>590</v>
      </c>
      <c r="M21" s="104"/>
      <c r="N21" s="122"/>
      <c r="R21" s="122"/>
      <c r="S21" s="122"/>
      <c r="T21" s="6" t="s">
        <v>860</v>
      </c>
      <c r="U21" s="121"/>
      <c r="V21" s="6" t="s">
        <v>340</v>
      </c>
      <c r="W21" s="123"/>
      <c r="X21" s="122"/>
      <c r="Y21" s="123"/>
      <c r="Z21" s="122"/>
      <c r="AG21" s="6" t="s">
        <v>860</v>
      </c>
      <c r="AH21" s="121"/>
      <c r="AI21" s="6" t="s">
        <v>340</v>
      </c>
      <c r="AT21" s="6" t="s">
        <v>860</v>
      </c>
      <c r="AU21" s="121"/>
      <c r="AV21" s="6" t="s">
        <v>340</v>
      </c>
      <c r="BD21" s="122" t="s">
        <v>590</v>
      </c>
      <c r="BE21" s="122" t="s">
        <v>990</v>
      </c>
      <c r="BF21" s="123" t="s">
        <v>590</v>
      </c>
      <c r="BG21" s="122" t="s">
        <v>590</v>
      </c>
      <c r="BH21" s="122" t="s">
        <v>991</v>
      </c>
      <c r="BI21" s="123" t="s">
        <v>590</v>
      </c>
      <c r="BJ21" s="122" t="s">
        <v>992</v>
      </c>
      <c r="BO21" s="5"/>
      <c r="BP21" s="5"/>
      <c r="BQ21" s="5"/>
      <c r="BR21" s="6" t="s">
        <v>860</v>
      </c>
      <c r="BS21" s="121"/>
      <c r="BT21" s="6" t="s">
        <v>340</v>
      </c>
      <c r="BU21" s="5"/>
      <c r="BV21" s="5"/>
      <c r="BW21" s="5"/>
      <c r="BZ21" s="5"/>
      <c r="CA21" s="5"/>
      <c r="CB21" s="5"/>
      <c r="CC21" s="5"/>
      <c r="CD21" s="5"/>
      <c r="CE21" s="6" t="s">
        <v>860</v>
      </c>
      <c r="CF21" s="121"/>
      <c r="CG21" s="6" t="s">
        <v>340</v>
      </c>
      <c r="CH21" s="5"/>
      <c r="CI21" s="5"/>
      <c r="CJ21" s="5"/>
      <c r="CK21" s="5"/>
      <c r="CM21" s="5"/>
      <c r="CN21" s="5"/>
      <c r="CO21" s="5"/>
      <c r="CP21" s="5"/>
      <c r="CQ21" s="5"/>
      <c r="CR21" s="6" t="s">
        <v>860</v>
      </c>
      <c r="CS21" s="121"/>
      <c r="CT21" s="6" t="s">
        <v>340</v>
      </c>
      <c r="CU21" s="5"/>
      <c r="CV21" s="5"/>
      <c r="CW21" s="5"/>
      <c r="CZ21" s="18"/>
      <c r="DA21" s="18"/>
      <c r="DB21" s="18"/>
      <c r="DC21" s="18"/>
      <c r="DD21" s="6" t="s">
        <v>860</v>
      </c>
      <c r="DE21" s="121"/>
      <c r="DF21" s="6" t="s">
        <v>340</v>
      </c>
      <c r="DG21" s="18"/>
      <c r="DH21" s="18"/>
      <c r="DI21" s="18"/>
      <c r="DJ21" s="18"/>
    </row>
    <row r="22" spans="1:115">
      <c r="A22" s="104"/>
      <c r="B22" s="104"/>
      <c r="C22" s="360"/>
      <c r="D22" s="360" t="s">
        <v>598</v>
      </c>
      <c r="E22" s="360" t="s">
        <v>593</v>
      </c>
      <c r="F22" s="360" t="s">
        <v>594</v>
      </c>
      <c r="G22" s="360" t="s">
        <v>1054</v>
      </c>
      <c r="H22" s="360" t="s">
        <v>596</v>
      </c>
      <c r="I22" s="360" t="s">
        <v>1223</v>
      </c>
      <c r="J22" s="360"/>
      <c r="K22" s="360" t="s">
        <v>1055</v>
      </c>
      <c r="L22" s="360" t="s">
        <v>590</v>
      </c>
      <c r="M22" s="104"/>
      <c r="N22" s="123"/>
      <c r="R22" s="123" t="s">
        <v>590</v>
      </c>
      <c r="S22" s="122" t="s">
        <v>593</v>
      </c>
      <c r="T22" s="122" t="s">
        <v>594</v>
      </c>
      <c r="U22" s="122" t="s">
        <v>595</v>
      </c>
      <c r="V22" s="122" t="s">
        <v>596</v>
      </c>
      <c r="W22" s="123"/>
      <c r="X22" s="122" t="s">
        <v>597</v>
      </c>
      <c r="Y22" s="122" t="s">
        <v>590</v>
      </c>
      <c r="AD22" s="121" t="s">
        <v>590</v>
      </c>
      <c r="AE22" s="122" t="s">
        <v>598</v>
      </c>
      <c r="AF22" s="122" t="s">
        <v>593</v>
      </c>
      <c r="AG22" s="122" t="s">
        <v>594</v>
      </c>
      <c r="AH22" s="122" t="s">
        <v>595</v>
      </c>
      <c r="AI22" s="122" t="s">
        <v>596</v>
      </c>
      <c r="AJ22" s="123"/>
      <c r="AK22" s="122" t="s">
        <v>597</v>
      </c>
      <c r="AL22" s="122" t="s">
        <v>590</v>
      </c>
      <c r="AQ22" s="123" t="s">
        <v>590</v>
      </c>
      <c r="AR22" s="122"/>
      <c r="AS22" s="122" t="s">
        <v>593</v>
      </c>
      <c r="AT22" s="122" t="s">
        <v>594</v>
      </c>
      <c r="AU22" s="122" t="s">
        <v>595</v>
      </c>
      <c r="AV22" s="122" t="s">
        <v>596</v>
      </c>
      <c r="AW22" s="123"/>
      <c r="AX22" s="122" t="s">
        <v>597</v>
      </c>
      <c r="AY22" s="122" t="s">
        <v>590</v>
      </c>
      <c r="BC22" s="5"/>
      <c r="BD22" s="123" t="s">
        <v>590</v>
      </c>
      <c r="BE22" s="122" t="s">
        <v>993</v>
      </c>
      <c r="BF22" s="122" t="s">
        <v>989</v>
      </c>
      <c r="BG22" s="122" t="s">
        <v>138</v>
      </c>
      <c r="BH22" s="122" t="s">
        <v>994</v>
      </c>
      <c r="BI22" s="122" t="s">
        <v>995</v>
      </c>
      <c r="BJ22" s="123" t="s">
        <v>996</v>
      </c>
      <c r="BK22" s="122"/>
      <c r="BL22" s="122"/>
      <c r="BO22" s="123" t="s">
        <v>590</v>
      </c>
      <c r="BP22" s="122"/>
      <c r="BQ22" s="487" t="s">
        <v>1248</v>
      </c>
      <c r="BR22" s="122" t="s">
        <v>594</v>
      </c>
      <c r="BS22" s="122" t="s">
        <v>595</v>
      </c>
      <c r="BT22" s="122" t="s">
        <v>596</v>
      </c>
      <c r="BU22" s="123"/>
      <c r="BV22" s="122" t="s">
        <v>597</v>
      </c>
      <c r="BW22" s="122" t="s">
        <v>590</v>
      </c>
      <c r="BZ22" s="5"/>
      <c r="CA22" s="5"/>
      <c r="CB22" s="123" t="s">
        <v>590</v>
      </c>
      <c r="CC22" s="122"/>
      <c r="CD22" s="487" t="s">
        <v>1271</v>
      </c>
      <c r="CE22" s="122" t="s">
        <v>594</v>
      </c>
      <c r="CF22" s="122" t="s">
        <v>595</v>
      </c>
      <c r="CG22" s="122" t="s">
        <v>596</v>
      </c>
      <c r="CH22" s="123"/>
      <c r="CI22" s="122" t="s">
        <v>597</v>
      </c>
      <c r="CJ22" s="122" t="s">
        <v>590</v>
      </c>
      <c r="CK22" s="5"/>
      <c r="CM22" s="5"/>
      <c r="CN22" s="5"/>
      <c r="CO22" s="123" t="s">
        <v>590</v>
      </c>
      <c r="CP22" s="122"/>
      <c r="CQ22" s="122" t="s">
        <v>593</v>
      </c>
      <c r="CR22" s="122" t="s">
        <v>594</v>
      </c>
      <c r="CS22" s="122" t="s">
        <v>595</v>
      </c>
      <c r="CT22" s="122" t="s">
        <v>596</v>
      </c>
      <c r="CU22" s="123"/>
      <c r="CV22" s="122" t="s">
        <v>597</v>
      </c>
      <c r="CW22" s="122" t="s">
        <v>590</v>
      </c>
      <c r="CZ22" s="18"/>
      <c r="DA22" s="18"/>
      <c r="DB22" s="123" t="s">
        <v>590</v>
      </c>
      <c r="DC22" s="122" t="s">
        <v>593</v>
      </c>
      <c r="DD22" s="122" t="s">
        <v>594</v>
      </c>
      <c r="DE22" s="122" t="s">
        <v>595</v>
      </c>
      <c r="DF22" s="122" t="s">
        <v>596</v>
      </c>
      <c r="DG22" s="123"/>
      <c r="DH22" s="122" t="s">
        <v>597</v>
      </c>
      <c r="DI22" s="122" t="s">
        <v>590</v>
      </c>
      <c r="DJ22" s="18"/>
    </row>
    <row r="23" spans="1:115" ht="46.9" thickBot="1">
      <c r="A23" s="370" t="s">
        <v>153</v>
      </c>
      <c r="B23" s="370" t="s">
        <v>153</v>
      </c>
      <c r="C23" s="361" t="s">
        <v>1056</v>
      </c>
      <c r="D23" s="361" t="s">
        <v>1057</v>
      </c>
      <c r="E23" s="361" t="s">
        <v>602</v>
      </c>
      <c r="F23" s="361" t="s">
        <v>1058</v>
      </c>
      <c r="G23" s="361" t="s">
        <v>1059</v>
      </c>
      <c r="H23" s="361" t="s">
        <v>1060</v>
      </c>
      <c r="I23" s="361" t="s">
        <v>1222</v>
      </c>
      <c r="J23" s="361" t="s">
        <v>134</v>
      </c>
      <c r="K23" s="361" t="s">
        <v>1061</v>
      </c>
      <c r="L23" s="361" t="s">
        <v>1062</v>
      </c>
      <c r="M23" s="361" t="s">
        <v>1146</v>
      </c>
      <c r="N23" s="263"/>
      <c r="P23" s="148" t="s">
        <v>153</v>
      </c>
      <c r="Q23" s="148" t="s">
        <v>153</v>
      </c>
      <c r="R23" s="122" t="s">
        <v>557</v>
      </c>
      <c r="S23" s="122" t="s">
        <v>602</v>
      </c>
      <c r="T23" s="122" t="s">
        <v>603</v>
      </c>
      <c r="U23" s="122" t="s">
        <v>604</v>
      </c>
      <c r="V23" s="122" t="s">
        <v>605</v>
      </c>
      <c r="W23" s="122" t="s">
        <v>134</v>
      </c>
      <c r="X23" s="122" t="s">
        <v>606</v>
      </c>
      <c r="Y23" s="122" t="s">
        <v>607</v>
      </c>
      <c r="AB23" s="148" t="s">
        <v>153</v>
      </c>
      <c r="AC23" s="148" t="s">
        <v>153</v>
      </c>
      <c r="AD23" s="122" t="s">
        <v>557</v>
      </c>
      <c r="AE23" s="122" t="s">
        <v>601</v>
      </c>
      <c r="AF23" s="122" t="s">
        <v>602</v>
      </c>
      <c r="AG23" s="122" t="s">
        <v>603</v>
      </c>
      <c r="AH23" s="122" t="s">
        <v>604</v>
      </c>
      <c r="AI23" s="122" t="s">
        <v>605</v>
      </c>
      <c r="AJ23" s="122" t="s">
        <v>134</v>
      </c>
      <c r="AK23" s="122" t="s">
        <v>606</v>
      </c>
      <c r="AL23" s="122" t="s">
        <v>607</v>
      </c>
      <c r="AO23" s="148" t="s">
        <v>153</v>
      </c>
      <c r="AP23" s="148" t="s">
        <v>153</v>
      </c>
      <c r="AQ23" s="122" t="s">
        <v>557</v>
      </c>
      <c r="AR23" s="122" t="s">
        <v>601</v>
      </c>
      <c r="AS23" s="122" t="s">
        <v>602</v>
      </c>
      <c r="AT23" s="122" t="s">
        <v>603</v>
      </c>
      <c r="AU23" s="122" t="s">
        <v>604</v>
      </c>
      <c r="AV23" s="122" t="s">
        <v>605</v>
      </c>
      <c r="AW23" s="122" t="s">
        <v>134</v>
      </c>
      <c r="AX23" s="122" t="s">
        <v>606</v>
      </c>
      <c r="AY23" s="122" t="s">
        <v>607</v>
      </c>
      <c r="BB23" s="148" t="s">
        <v>153</v>
      </c>
      <c r="BC23" s="148" t="s">
        <v>153</v>
      </c>
      <c r="BD23" s="122" t="s">
        <v>557</v>
      </c>
      <c r="BE23" s="122" t="s">
        <v>997</v>
      </c>
      <c r="BF23" s="122" t="s">
        <v>998</v>
      </c>
      <c r="BG23" s="122" t="s">
        <v>597</v>
      </c>
      <c r="BH23" s="122" t="s">
        <v>999</v>
      </c>
      <c r="BI23" s="122" t="s">
        <v>1000</v>
      </c>
      <c r="BJ23" s="122" t="s">
        <v>1001</v>
      </c>
      <c r="BK23" s="122"/>
      <c r="BL23" s="122"/>
      <c r="BO23" s="122" t="s">
        <v>557</v>
      </c>
      <c r="BP23" s="356" t="s">
        <v>1224</v>
      </c>
      <c r="BQ23" s="487"/>
      <c r="BR23" s="122" t="s">
        <v>603</v>
      </c>
      <c r="BS23" s="122" t="s">
        <v>604</v>
      </c>
      <c r="BT23" s="122" t="s">
        <v>605</v>
      </c>
      <c r="BU23" s="122" t="s">
        <v>134</v>
      </c>
      <c r="BV23" s="122" t="s">
        <v>606</v>
      </c>
      <c r="BW23" s="356" t="s">
        <v>1225</v>
      </c>
      <c r="BX23" s="357" t="s">
        <v>1226</v>
      </c>
      <c r="BZ23" s="5"/>
      <c r="CA23" s="5"/>
      <c r="CB23" s="122" t="s">
        <v>557</v>
      </c>
      <c r="CC23" s="356" t="s">
        <v>1224</v>
      </c>
      <c r="CD23" s="487"/>
      <c r="CE23" s="122" t="s">
        <v>603</v>
      </c>
      <c r="CF23" s="122" t="s">
        <v>604</v>
      </c>
      <c r="CG23" s="122" t="s">
        <v>605</v>
      </c>
      <c r="CH23" s="122" t="s">
        <v>134</v>
      </c>
      <c r="CI23" s="122" t="s">
        <v>606</v>
      </c>
      <c r="CJ23" s="356" t="s">
        <v>1225</v>
      </c>
      <c r="CK23" s="357" t="s">
        <v>1226</v>
      </c>
      <c r="CM23" s="5"/>
      <c r="CN23" s="5"/>
      <c r="CO23" s="122" t="s">
        <v>557</v>
      </c>
      <c r="CP23" s="122" t="s">
        <v>601</v>
      </c>
      <c r="CQ23" s="122" t="s">
        <v>602</v>
      </c>
      <c r="CR23" s="122" t="s">
        <v>603</v>
      </c>
      <c r="CS23" s="122" t="s">
        <v>604</v>
      </c>
      <c r="CT23" s="122" t="s">
        <v>605</v>
      </c>
      <c r="CU23" s="122" t="s">
        <v>134</v>
      </c>
      <c r="CV23" s="122" t="s">
        <v>606</v>
      </c>
      <c r="CW23" s="122" t="s">
        <v>1148</v>
      </c>
      <c r="CX23" s="356" t="s">
        <v>1225</v>
      </c>
      <c r="CZ23" s="18"/>
      <c r="DA23" s="18"/>
      <c r="DB23" s="122" t="s">
        <v>557</v>
      </c>
      <c r="DC23" s="122" t="s">
        <v>602</v>
      </c>
      <c r="DD23" s="122" t="s">
        <v>603</v>
      </c>
      <c r="DE23" s="122" t="s">
        <v>604</v>
      </c>
      <c r="DF23" s="122" t="s">
        <v>605</v>
      </c>
      <c r="DG23" s="122" t="s">
        <v>134</v>
      </c>
      <c r="DH23" s="122" t="s">
        <v>606</v>
      </c>
      <c r="DI23" s="122" t="s">
        <v>1148</v>
      </c>
      <c r="DJ23" s="356" t="s">
        <v>1225</v>
      </c>
    </row>
    <row r="24" spans="1:115" ht="14.65" thickTop="1">
      <c r="A24" s="371" t="s">
        <v>770</v>
      </c>
      <c r="B24" s="371" t="s">
        <v>608</v>
      </c>
      <c r="C24" s="362">
        <v>360</v>
      </c>
      <c r="D24" s="362">
        <v>77</v>
      </c>
      <c r="E24" s="362">
        <v>1</v>
      </c>
      <c r="F24" s="362">
        <v>6</v>
      </c>
      <c r="G24" s="362">
        <v>148</v>
      </c>
      <c r="H24" s="362">
        <v>2</v>
      </c>
      <c r="I24" s="372" t="e">
        <f t="shared" ref="I24:I55" si="0">H24+Y24</f>
        <v>#VALUE!</v>
      </c>
      <c r="J24" s="362">
        <v>6</v>
      </c>
      <c r="K24" s="362">
        <v>0</v>
      </c>
      <c r="L24" s="362">
        <v>120</v>
      </c>
      <c r="M24" s="372" t="e">
        <f t="shared" ref="M24:M55" si="1">L24-Y24-BX24</f>
        <v>#VALUE!</v>
      </c>
      <c r="N24" s="262"/>
      <c r="P24" s="258" t="s">
        <v>770</v>
      </c>
      <c r="Q24" s="258" t="s">
        <v>608</v>
      </c>
      <c r="R24" s="125">
        <v>1</v>
      </c>
      <c r="S24" s="125">
        <v>0</v>
      </c>
      <c r="T24" s="125" t="s">
        <v>611</v>
      </c>
      <c r="U24" s="125" t="s">
        <v>611</v>
      </c>
      <c r="V24" s="125">
        <v>0</v>
      </c>
      <c r="W24" s="125">
        <v>0</v>
      </c>
      <c r="X24" s="125">
        <v>0</v>
      </c>
      <c r="Y24" s="125" t="s">
        <v>611</v>
      </c>
      <c r="Z24" s="125"/>
      <c r="AB24" s="258" t="s">
        <v>770</v>
      </c>
      <c r="AC24" s="258" t="s">
        <v>608</v>
      </c>
      <c r="AD24" s="125">
        <v>360</v>
      </c>
      <c r="AE24" s="125">
        <v>77</v>
      </c>
      <c r="AF24" s="125">
        <v>1</v>
      </c>
      <c r="AG24" s="125">
        <v>6</v>
      </c>
      <c r="AH24" s="125">
        <v>148</v>
      </c>
      <c r="AI24" s="125">
        <v>2</v>
      </c>
      <c r="AJ24" s="125">
        <v>6</v>
      </c>
      <c r="AK24" s="125">
        <v>0</v>
      </c>
      <c r="AL24" s="125">
        <v>121</v>
      </c>
      <c r="AO24" s="258" t="s">
        <v>770</v>
      </c>
      <c r="AP24" s="258" t="s">
        <v>608</v>
      </c>
      <c r="AQ24" s="125">
        <v>280</v>
      </c>
      <c r="AR24" s="125">
        <v>77</v>
      </c>
      <c r="AS24" s="125">
        <v>1</v>
      </c>
      <c r="AT24" s="125">
        <v>6</v>
      </c>
      <c r="AU24" s="125">
        <v>148</v>
      </c>
      <c r="AV24" s="125">
        <v>2</v>
      </c>
      <c r="AW24" s="125">
        <v>6</v>
      </c>
      <c r="AX24" s="125">
        <v>0</v>
      </c>
      <c r="AY24" s="125">
        <v>40</v>
      </c>
      <c r="BB24" s="258" t="s">
        <v>770</v>
      </c>
      <c r="BC24" s="258" t="s">
        <v>608</v>
      </c>
      <c r="BD24" s="125">
        <v>5</v>
      </c>
      <c r="BE24" s="125">
        <v>0</v>
      </c>
      <c r="BF24" s="125">
        <v>2</v>
      </c>
      <c r="BG24" s="125">
        <v>0</v>
      </c>
      <c r="BH24" s="125">
        <v>0</v>
      </c>
      <c r="BI24" s="125">
        <v>4</v>
      </c>
      <c r="BJ24" s="125" t="s">
        <v>611</v>
      </c>
      <c r="BK24" s="261"/>
      <c r="BL24" s="261"/>
      <c r="BM24" s="258" t="s">
        <v>770</v>
      </c>
      <c r="BN24" s="258" t="s">
        <v>608</v>
      </c>
      <c r="BO24" s="261" t="e">
        <f>SUM(BP24:BW24)</f>
        <v>#VALUE!</v>
      </c>
      <c r="BP24" s="261">
        <f>AE24</f>
        <v>77</v>
      </c>
      <c r="BQ24" s="261" t="e">
        <f>S24+AF24+BJ24</f>
        <v>#VALUE!</v>
      </c>
      <c r="BR24" s="261" t="e">
        <f>T24+AG24+BX24</f>
        <v>#VALUE!</v>
      </c>
      <c r="BS24" s="261" t="e">
        <f>U24+AH24</f>
        <v>#VALUE!</v>
      </c>
      <c r="BT24" s="261" t="e">
        <f>V24+Y24+AI24</f>
        <v>#VALUE!</v>
      </c>
      <c r="BU24" s="261">
        <f>W24+AJ24</f>
        <v>6</v>
      </c>
      <c r="BV24" s="261">
        <f t="shared" ref="BV24" si="2">X24+AK24</f>
        <v>0</v>
      </c>
      <c r="BW24" s="125">
        <f>BI24</f>
        <v>4</v>
      </c>
      <c r="BZ24" s="258" t="s">
        <v>770</v>
      </c>
      <c r="CA24" s="258" t="s">
        <v>608</v>
      </c>
      <c r="CB24" s="261" t="e">
        <f>SUM(CC24:CJ24)</f>
        <v>#VALUE!</v>
      </c>
      <c r="CC24" s="409">
        <f>BP24</f>
        <v>77</v>
      </c>
      <c r="CD24" s="409">
        <f>S24+AF24</f>
        <v>1</v>
      </c>
      <c r="CE24" s="409" t="e">
        <f>BR24</f>
        <v>#VALUE!</v>
      </c>
      <c r="CF24" s="409" t="e">
        <f>BS24</f>
        <v>#VALUE!</v>
      </c>
      <c r="CG24" s="409" t="e">
        <f>BT24</f>
        <v>#VALUE!</v>
      </c>
      <c r="CH24" s="409">
        <f>BU24</f>
        <v>6</v>
      </c>
      <c r="CI24" s="409">
        <f>BV24</f>
        <v>0</v>
      </c>
      <c r="CJ24" s="409">
        <f>BI24</f>
        <v>4</v>
      </c>
      <c r="CK24" s="372">
        <f>BX24</f>
        <v>0</v>
      </c>
      <c r="CM24" s="258" t="s">
        <v>770</v>
      </c>
      <c r="CN24" s="258" t="s">
        <v>608</v>
      </c>
      <c r="CO24" t="e">
        <f>CB24/$BO$105</f>
        <v>#VALUE!</v>
      </c>
      <c r="CP24">
        <f>CC24/$BP$105</f>
        <v>6.7781690140845077E-2</v>
      </c>
      <c r="CQ24" s="5">
        <f>CD24/$BQ$105</f>
        <v>1.1904761904761904E-2</v>
      </c>
      <c r="CR24" s="5" t="e">
        <f>CE24/$BR$105</f>
        <v>#VALUE!</v>
      </c>
      <c r="CS24" s="5" t="e">
        <f>CF24/$BS$105</f>
        <v>#VALUE!</v>
      </c>
      <c r="CT24" s="5" t="e">
        <f>CG24/$BT$105</f>
        <v>#VALUE!</v>
      </c>
      <c r="CU24" s="5">
        <f>CH24/$BU$105</f>
        <v>1.5503875968992248E-2</v>
      </c>
      <c r="CV24" s="5">
        <f>CI24/$BV$105</f>
        <v>0</v>
      </c>
      <c r="CW24">
        <f>(CH24+CI24)/($BU$105+$BV$105)</f>
        <v>1.4285714285714285E-2</v>
      </c>
      <c r="CX24" s="5">
        <f>CJ24/$BW$105</f>
        <v>9.3896713615023476E-3</v>
      </c>
      <c r="CZ24" s="447" t="s">
        <v>770</v>
      </c>
      <c r="DA24" s="447" t="s">
        <v>608</v>
      </c>
      <c r="DB24" s="18" t="e">
        <f>R24/CB24</f>
        <v>#VALUE!</v>
      </c>
      <c r="DC24" s="18">
        <f>S24/CD24</f>
        <v>0</v>
      </c>
      <c r="DD24" s="18" t="e">
        <f>(T24)/CE24</f>
        <v>#VALUE!</v>
      </c>
      <c r="DE24" s="18" t="e">
        <f>U24/CF24</f>
        <v>#VALUE!</v>
      </c>
      <c r="DF24" s="18" t="e">
        <f>(V24+Y24)/CG24</f>
        <v>#VALUE!</v>
      </c>
      <c r="DG24" s="18">
        <f>W24/CH24</f>
        <v>0</v>
      </c>
      <c r="DH24" s="18" t="e">
        <f>X24/CI24</f>
        <v>#DIV/0!</v>
      </c>
      <c r="DI24" s="18">
        <f>(W24+X24)/(CH24+CI24)</f>
        <v>0</v>
      </c>
      <c r="DJ24" s="18">
        <f>0/CJ24</f>
        <v>0</v>
      </c>
    </row>
    <row r="25" spans="1:115" ht="24">
      <c r="A25" s="371" t="s">
        <v>609</v>
      </c>
      <c r="B25" s="371" t="s">
        <v>610</v>
      </c>
      <c r="C25" s="362">
        <v>50</v>
      </c>
      <c r="D25" s="362">
        <v>11</v>
      </c>
      <c r="E25" s="362" t="s">
        <v>611</v>
      </c>
      <c r="F25" s="362" t="s">
        <v>611</v>
      </c>
      <c r="G25" s="362">
        <v>25</v>
      </c>
      <c r="H25" s="362" t="s">
        <v>611</v>
      </c>
      <c r="I25" s="372" t="e">
        <f t="shared" si="0"/>
        <v>#VALUE!</v>
      </c>
      <c r="J25" s="362">
        <v>6</v>
      </c>
      <c r="K25" s="362">
        <v>0</v>
      </c>
      <c r="L25" s="362">
        <v>8</v>
      </c>
      <c r="M25" s="372" t="e">
        <f t="shared" si="1"/>
        <v>#VALUE!</v>
      </c>
      <c r="N25" s="262"/>
      <c r="P25" s="258" t="s">
        <v>609</v>
      </c>
      <c r="Q25" s="258" t="s">
        <v>610</v>
      </c>
      <c r="R25" s="125" t="s">
        <v>611</v>
      </c>
      <c r="S25" s="125">
        <v>0</v>
      </c>
      <c r="T25" s="125" t="s">
        <v>611</v>
      </c>
      <c r="U25" s="125" t="s">
        <v>611</v>
      </c>
      <c r="V25" s="125">
        <v>0</v>
      </c>
      <c r="W25" s="125">
        <v>0</v>
      </c>
      <c r="X25" s="125">
        <v>0</v>
      </c>
      <c r="Y25" s="125" t="s">
        <v>611</v>
      </c>
      <c r="Z25" s="125"/>
      <c r="AB25" s="258" t="s">
        <v>609</v>
      </c>
      <c r="AC25" s="258" t="s">
        <v>610</v>
      </c>
      <c r="AD25" s="125">
        <v>50</v>
      </c>
      <c r="AE25" s="125">
        <v>11</v>
      </c>
      <c r="AF25" s="125" t="s">
        <v>611</v>
      </c>
      <c r="AG25" s="125" t="s">
        <v>611</v>
      </c>
      <c r="AH25" s="125">
        <v>25</v>
      </c>
      <c r="AI25" s="125" t="s">
        <v>611</v>
      </c>
      <c r="AJ25" s="125">
        <v>6</v>
      </c>
      <c r="AK25" s="125">
        <v>0</v>
      </c>
      <c r="AL25" s="125">
        <v>8</v>
      </c>
      <c r="AO25" s="258" t="s">
        <v>609</v>
      </c>
      <c r="AP25" s="258" t="s">
        <v>610</v>
      </c>
      <c r="AQ25" s="125">
        <v>50</v>
      </c>
      <c r="AR25" s="125">
        <v>12</v>
      </c>
      <c r="AS25" s="125" t="s">
        <v>611</v>
      </c>
      <c r="AT25" s="125" t="s">
        <v>611</v>
      </c>
      <c r="AU25" s="125">
        <v>25</v>
      </c>
      <c r="AV25" s="125" t="s">
        <v>611</v>
      </c>
      <c r="AW25" s="125">
        <v>6</v>
      </c>
      <c r="AX25" s="125">
        <v>0</v>
      </c>
      <c r="AY25" s="125">
        <v>7</v>
      </c>
      <c r="BB25" s="258" t="s">
        <v>609</v>
      </c>
      <c r="BC25" s="258" t="s">
        <v>610</v>
      </c>
      <c r="BD25" s="125">
        <v>4</v>
      </c>
      <c r="BE25" s="125">
        <v>0</v>
      </c>
      <c r="BF25" s="125" t="s">
        <v>611</v>
      </c>
      <c r="BG25" s="125">
        <v>0</v>
      </c>
      <c r="BH25" s="125">
        <v>0</v>
      </c>
      <c r="BI25" s="125">
        <v>4</v>
      </c>
      <c r="BJ25" s="125">
        <v>0</v>
      </c>
      <c r="BK25" s="261"/>
      <c r="BL25" s="261"/>
      <c r="BM25" s="258" t="s">
        <v>609</v>
      </c>
      <c r="BN25" s="258" t="s">
        <v>610</v>
      </c>
      <c r="BO25" s="261" t="e">
        <f t="shared" ref="BO25:BO88" si="3">SUM(BP25:BW25)</f>
        <v>#VALUE!</v>
      </c>
      <c r="BP25" s="261">
        <f t="shared" ref="BP25:BP88" si="4">AE25</f>
        <v>11</v>
      </c>
      <c r="BQ25" s="261" t="e">
        <f t="shared" ref="BQ25:BQ88" si="5">S25+AF25+BJ25</f>
        <v>#VALUE!</v>
      </c>
      <c r="BR25" s="261" t="e">
        <f t="shared" ref="BR25:BR88" si="6">T25+AG25+BX25</f>
        <v>#VALUE!</v>
      </c>
      <c r="BS25" s="261" t="e">
        <f t="shared" ref="BS25:BS88" si="7">U25+AH25</f>
        <v>#VALUE!</v>
      </c>
      <c r="BT25" s="261" t="e">
        <f t="shared" ref="BT25:BT88" si="8">V25+Y25+AI25</f>
        <v>#VALUE!</v>
      </c>
      <c r="BU25" s="261">
        <f t="shared" ref="BU25:BU88" si="9">W25+AJ25</f>
        <v>6</v>
      </c>
      <c r="BV25" s="261">
        <f t="shared" ref="BV25:BV88" si="10">X25+AK25</f>
        <v>0</v>
      </c>
      <c r="BW25" s="125">
        <f t="shared" ref="BW25:BW49" si="11">BI25</f>
        <v>4</v>
      </c>
      <c r="BZ25" s="258" t="s">
        <v>609</v>
      </c>
      <c r="CA25" s="258" t="s">
        <v>610</v>
      </c>
      <c r="CB25" s="261" t="e">
        <f t="shared" ref="CB25:CB88" si="12">SUM(CC25:CJ25)</f>
        <v>#VALUE!</v>
      </c>
      <c r="CC25" s="409">
        <f t="shared" ref="CC25:CC88" si="13">BP25</f>
        <v>11</v>
      </c>
      <c r="CD25" s="409" t="e">
        <f t="shared" ref="CD25:CD88" si="14">S25+AF25</f>
        <v>#VALUE!</v>
      </c>
      <c r="CE25" s="409" t="e">
        <f t="shared" ref="CE25:CE88" si="15">BR25</f>
        <v>#VALUE!</v>
      </c>
      <c r="CF25" s="409" t="e">
        <f t="shared" ref="CF25:CF88" si="16">BS25</f>
        <v>#VALUE!</v>
      </c>
      <c r="CG25" s="409" t="e">
        <f t="shared" ref="CG25:CG88" si="17">BT25</f>
        <v>#VALUE!</v>
      </c>
      <c r="CH25" s="409">
        <f t="shared" ref="CH25:CH88" si="18">BU25</f>
        <v>6</v>
      </c>
      <c r="CI25" s="409">
        <f t="shared" ref="CI25:CI88" si="19">BV25</f>
        <v>0</v>
      </c>
      <c r="CJ25" s="409">
        <f t="shared" ref="CJ25:CJ88" si="20">BI25</f>
        <v>4</v>
      </c>
      <c r="CK25" s="372">
        <f t="shared" ref="CK25:CK88" si="21">BX25</f>
        <v>0</v>
      </c>
      <c r="CM25" s="258" t="s">
        <v>609</v>
      </c>
      <c r="CN25" s="258" t="s">
        <v>610</v>
      </c>
      <c r="CO25" s="5" t="e">
        <f t="shared" ref="CO25:CO88" si="22">CB25/$BO$105</f>
        <v>#VALUE!</v>
      </c>
      <c r="CP25" s="5">
        <f t="shared" ref="CP25:CP88" si="23">CC25/$BP$105</f>
        <v>9.683098591549295E-3</v>
      </c>
      <c r="CQ25" s="5" t="e">
        <f t="shared" ref="CQ25:CQ88" si="24">CD25/$BQ$105</f>
        <v>#VALUE!</v>
      </c>
      <c r="CR25" s="5" t="e">
        <f t="shared" ref="CR25:CR88" si="25">CE25/$BR$105</f>
        <v>#VALUE!</v>
      </c>
      <c r="CS25" s="5" t="e">
        <f t="shared" ref="CS25:CS88" si="26">CF25/$BS$105</f>
        <v>#VALUE!</v>
      </c>
      <c r="CT25" s="5" t="e">
        <f t="shared" ref="CT25:CT88" si="27">CG25/$BT$105</f>
        <v>#VALUE!</v>
      </c>
      <c r="CU25" s="5">
        <f t="shared" ref="CU25:CU88" si="28">CH25/$BU$105</f>
        <v>1.5503875968992248E-2</v>
      </c>
      <c r="CV25" s="5">
        <f t="shared" ref="CV25:CV88" si="29">CI25/$BV$105</f>
        <v>0</v>
      </c>
      <c r="CW25" s="5">
        <f t="shared" ref="CW25:CW88" si="30">(CH25+CI25)/($BU$105+$BV$105)</f>
        <v>1.4285714285714285E-2</v>
      </c>
      <c r="CX25" s="5">
        <f t="shared" ref="CX25:CX88" si="31">CJ25/$BW$105</f>
        <v>9.3896713615023476E-3</v>
      </c>
      <c r="CZ25" s="447" t="s">
        <v>609</v>
      </c>
      <c r="DA25" s="447" t="s">
        <v>610</v>
      </c>
      <c r="DB25" s="18" t="e">
        <f t="shared" ref="DB25:DB88" si="32">R25/CB25</f>
        <v>#VALUE!</v>
      </c>
      <c r="DC25" s="18" t="e">
        <f t="shared" ref="DC25:DC88" si="33">S25/CD25</f>
        <v>#VALUE!</v>
      </c>
      <c r="DD25" s="18" t="e">
        <f t="shared" ref="DD25:DD49" si="34">(T25)/CE25</f>
        <v>#VALUE!</v>
      </c>
      <c r="DE25" s="18" t="e">
        <f t="shared" ref="DE25:DE88" si="35">U25/CF25</f>
        <v>#VALUE!</v>
      </c>
      <c r="DF25" s="18" t="e">
        <f t="shared" ref="DF25:DF88" si="36">(V25+Y25)/CG25</f>
        <v>#VALUE!</v>
      </c>
      <c r="DG25" s="18">
        <f t="shared" ref="DG25:DG88" si="37">W25/CH25</f>
        <v>0</v>
      </c>
      <c r="DH25" s="18" t="e">
        <f t="shared" ref="DH25:DH88" si="38">X25/CI25</f>
        <v>#DIV/0!</v>
      </c>
      <c r="DI25" s="18">
        <f t="shared" ref="DI25:DI88" si="39">(W25+X25)/(CH25+CI25)</f>
        <v>0</v>
      </c>
      <c r="DJ25" s="18">
        <f t="shared" ref="DJ25:DJ88" si="40">0/CJ25</f>
        <v>0</v>
      </c>
    </row>
    <row r="26" spans="1:115" ht="24">
      <c r="A26" s="371" t="s">
        <v>612</v>
      </c>
      <c r="B26" s="371" t="s">
        <v>613</v>
      </c>
      <c r="C26" s="362">
        <v>14</v>
      </c>
      <c r="D26" s="362">
        <v>3</v>
      </c>
      <c r="E26" s="362">
        <v>0</v>
      </c>
      <c r="F26" s="362" t="s">
        <v>611</v>
      </c>
      <c r="G26" s="362">
        <v>4</v>
      </c>
      <c r="H26" s="362" t="s">
        <v>611</v>
      </c>
      <c r="I26" s="372" t="e">
        <f t="shared" si="0"/>
        <v>#VALUE!</v>
      </c>
      <c r="J26" s="362">
        <v>5</v>
      </c>
      <c r="K26" s="362">
        <v>0</v>
      </c>
      <c r="L26" s="362">
        <v>2</v>
      </c>
      <c r="M26" s="372" t="e">
        <f t="shared" si="1"/>
        <v>#VALUE!</v>
      </c>
      <c r="N26" s="262"/>
      <c r="P26" s="258" t="s">
        <v>612</v>
      </c>
      <c r="Q26" s="258" t="s">
        <v>613</v>
      </c>
      <c r="R26" s="125" t="s">
        <v>611</v>
      </c>
      <c r="S26" s="125">
        <v>0</v>
      </c>
      <c r="T26" s="125">
        <v>0</v>
      </c>
      <c r="U26" s="125">
        <v>0</v>
      </c>
      <c r="V26" s="125">
        <v>0</v>
      </c>
      <c r="W26" s="125">
        <v>0</v>
      </c>
      <c r="X26" s="125">
        <v>0</v>
      </c>
      <c r="Y26" s="125" t="s">
        <v>611</v>
      </c>
      <c r="Z26" s="125"/>
      <c r="AB26" s="258" t="s">
        <v>612</v>
      </c>
      <c r="AC26" s="258" t="s">
        <v>613</v>
      </c>
      <c r="AD26" s="125">
        <v>14</v>
      </c>
      <c r="AE26" s="125">
        <v>3</v>
      </c>
      <c r="AF26" s="125">
        <v>0</v>
      </c>
      <c r="AG26" s="125" t="s">
        <v>611</v>
      </c>
      <c r="AH26" s="125">
        <v>4</v>
      </c>
      <c r="AI26" s="125" t="s">
        <v>611</v>
      </c>
      <c r="AJ26" s="125">
        <v>5</v>
      </c>
      <c r="AK26" s="125">
        <v>0</v>
      </c>
      <c r="AL26" s="125">
        <v>2</v>
      </c>
      <c r="AO26" s="258" t="s">
        <v>612</v>
      </c>
      <c r="AP26" s="258" t="s">
        <v>613</v>
      </c>
      <c r="AQ26" s="125">
        <v>14</v>
      </c>
      <c r="AR26" s="125">
        <v>3</v>
      </c>
      <c r="AS26" s="125">
        <v>0</v>
      </c>
      <c r="AT26" s="125" t="s">
        <v>611</v>
      </c>
      <c r="AU26" s="125">
        <v>4</v>
      </c>
      <c r="AV26" s="125" t="s">
        <v>611</v>
      </c>
      <c r="AW26" s="125">
        <v>5</v>
      </c>
      <c r="AX26" s="125">
        <v>0</v>
      </c>
      <c r="AY26" s="125">
        <v>2</v>
      </c>
      <c r="BB26" s="258" t="s">
        <v>612</v>
      </c>
      <c r="BC26" s="258" t="s">
        <v>613</v>
      </c>
      <c r="BD26" s="125">
        <v>2</v>
      </c>
      <c r="BE26" s="125">
        <v>0</v>
      </c>
      <c r="BF26" s="125" t="s">
        <v>611</v>
      </c>
      <c r="BG26" s="125">
        <v>0</v>
      </c>
      <c r="BH26" s="125">
        <v>0</v>
      </c>
      <c r="BI26" s="125">
        <v>2</v>
      </c>
      <c r="BJ26" s="125">
        <v>0</v>
      </c>
      <c r="BK26" s="261"/>
      <c r="BL26" s="261"/>
      <c r="BM26" s="258" t="s">
        <v>612</v>
      </c>
      <c r="BN26" s="258" t="s">
        <v>613</v>
      </c>
      <c r="BO26" s="261" t="e">
        <f t="shared" si="3"/>
        <v>#VALUE!</v>
      </c>
      <c r="BP26" s="261">
        <f t="shared" si="4"/>
        <v>3</v>
      </c>
      <c r="BQ26" s="261">
        <f t="shared" si="5"/>
        <v>0</v>
      </c>
      <c r="BR26" s="261" t="e">
        <f>T26+AG26+BX26</f>
        <v>#VALUE!</v>
      </c>
      <c r="BS26" s="261">
        <f t="shared" si="7"/>
        <v>4</v>
      </c>
      <c r="BT26" s="261" t="e">
        <f t="shared" si="8"/>
        <v>#VALUE!</v>
      </c>
      <c r="BU26" s="261">
        <f t="shared" si="9"/>
        <v>5</v>
      </c>
      <c r="BV26" s="261">
        <f t="shared" si="10"/>
        <v>0</v>
      </c>
      <c r="BW26" s="125">
        <f t="shared" si="11"/>
        <v>2</v>
      </c>
      <c r="BZ26" s="258" t="s">
        <v>612</v>
      </c>
      <c r="CA26" s="258" t="s">
        <v>613</v>
      </c>
      <c r="CB26" s="261" t="e">
        <f t="shared" si="12"/>
        <v>#VALUE!</v>
      </c>
      <c r="CC26" s="409">
        <f t="shared" si="13"/>
        <v>3</v>
      </c>
      <c r="CD26" s="409">
        <f t="shared" si="14"/>
        <v>0</v>
      </c>
      <c r="CE26" s="409" t="e">
        <f t="shared" si="15"/>
        <v>#VALUE!</v>
      </c>
      <c r="CF26" s="409">
        <f t="shared" si="16"/>
        <v>4</v>
      </c>
      <c r="CG26" s="409" t="e">
        <f t="shared" si="17"/>
        <v>#VALUE!</v>
      </c>
      <c r="CH26" s="409">
        <f t="shared" si="18"/>
        <v>5</v>
      </c>
      <c r="CI26" s="409">
        <f t="shared" si="19"/>
        <v>0</v>
      </c>
      <c r="CJ26" s="409">
        <f t="shared" si="20"/>
        <v>2</v>
      </c>
      <c r="CK26" s="372">
        <f t="shared" si="21"/>
        <v>0</v>
      </c>
      <c r="CM26" s="258" t="s">
        <v>612</v>
      </c>
      <c r="CN26" s="258" t="s">
        <v>613</v>
      </c>
      <c r="CO26" s="5" t="e">
        <f t="shared" si="22"/>
        <v>#VALUE!</v>
      </c>
      <c r="CP26" s="5">
        <f t="shared" si="23"/>
        <v>2.6408450704225352E-3</v>
      </c>
      <c r="CQ26" s="5">
        <f t="shared" si="24"/>
        <v>0</v>
      </c>
      <c r="CR26" s="5" t="e">
        <f t="shared" si="25"/>
        <v>#VALUE!</v>
      </c>
      <c r="CS26" s="5">
        <f t="shared" si="26"/>
        <v>1.1604293588627793E-3</v>
      </c>
      <c r="CT26" s="5" t="e">
        <f t="shared" si="27"/>
        <v>#VALUE!</v>
      </c>
      <c r="CU26" s="5">
        <f t="shared" si="28"/>
        <v>1.2919896640826873E-2</v>
      </c>
      <c r="CV26" s="5">
        <f t="shared" si="29"/>
        <v>0</v>
      </c>
      <c r="CW26" s="5">
        <f t="shared" si="30"/>
        <v>1.1904761904761904E-2</v>
      </c>
      <c r="CX26" s="5">
        <f t="shared" si="31"/>
        <v>4.6948356807511738E-3</v>
      </c>
      <c r="CZ26" s="447" t="s">
        <v>612</v>
      </c>
      <c r="DA26" s="447" t="s">
        <v>613</v>
      </c>
      <c r="DB26" s="18" t="e">
        <f t="shared" si="32"/>
        <v>#VALUE!</v>
      </c>
      <c r="DC26" s="18" t="e">
        <f t="shared" si="33"/>
        <v>#DIV/0!</v>
      </c>
      <c r="DD26" s="18" t="e">
        <f t="shared" si="34"/>
        <v>#VALUE!</v>
      </c>
      <c r="DE26" s="18">
        <f t="shared" si="35"/>
        <v>0</v>
      </c>
      <c r="DF26" s="18" t="e">
        <f t="shared" si="36"/>
        <v>#VALUE!</v>
      </c>
      <c r="DG26" s="18">
        <f t="shared" si="37"/>
        <v>0</v>
      </c>
      <c r="DH26" s="18" t="e">
        <f t="shared" si="38"/>
        <v>#DIV/0!</v>
      </c>
      <c r="DI26" s="18">
        <f t="shared" si="39"/>
        <v>0</v>
      </c>
      <c r="DJ26" s="18">
        <f t="shared" si="40"/>
        <v>0</v>
      </c>
    </row>
    <row r="27" spans="1:115" ht="24">
      <c r="A27" s="371" t="s">
        <v>614</v>
      </c>
      <c r="B27" s="371" t="s">
        <v>615</v>
      </c>
      <c r="C27" s="362">
        <v>106</v>
      </c>
      <c r="D27" s="362">
        <v>1</v>
      </c>
      <c r="E27" s="362" t="s">
        <v>611</v>
      </c>
      <c r="F27" s="362">
        <v>1</v>
      </c>
      <c r="G27" s="362">
        <v>2</v>
      </c>
      <c r="H27" s="362" t="s">
        <v>611</v>
      </c>
      <c r="I27" s="372" t="e">
        <f t="shared" si="0"/>
        <v>#VALUE!</v>
      </c>
      <c r="J27" s="362">
        <v>0</v>
      </c>
      <c r="K27" s="362">
        <v>0</v>
      </c>
      <c r="L27" s="362">
        <v>102</v>
      </c>
      <c r="M27" s="372" t="e">
        <f t="shared" si="1"/>
        <v>#VALUE!</v>
      </c>
      <c r="N27" s="262"/>
      <c r="P27" s="258" t="s">
        <v>614</v>
      </c>
      <c r="Q27" s="258" t="s">
        <v>615</v>
      </c>
      <c r="R27" s="125" t="s">
        <v>611</v>
      </c>
      <c r="S27" s="125">
        <v>0</v>
      </c>
      <c r="T27" s="125">
        <v>0</v>
      </c>
      <c r="U27" s="125" t="s">
        <v>611</v>
      </c>
      <c r="V27" s="125">
        <v>0</v>
      </c>
      <c r="W27" s="125">
        <v>0</v>
      </c>
      <c r="X27" s="125">
        <v>0</v>
      </c>
      <c r="Y27" s="125" t="s">
        <v>611</v>
      </c>
      <c r="Z27" s="125"/>
      <c r="AB27" s="258" t="s">
        <v>614</v>
      </c>
      <c r="AC27" s="258" t="s">
        <v>615</v>
      </c>
      <c r="AD27" s="125">
        <v>106</v>
      </c>
      <c r="AE27" s="125">
        <v>1</v>
      </c>
      <c r="AF27" s="125" t="s">
        <v>611</v>
      </c>
      <c r="AG27" s="125">
        <v>1</v>
      </c>
      <c r="AH27" s="125">
        <v>2</v>
      </c>
      <c r="AI27" s="125" t="s">
        <v>611</v>
      </c>
      <c r="AJ27" s="125">
        <v>0</v>
      </c>
      <c r="AK27" s="125">
        <v>0</v>
      </c>
      <c r="AL27" s="125">
        <v>102</v>
      </c>
      <c r="AO27" s="258" t="s">
        <v>614</v>
      </c>
      <c r="AP27" s="258" t="s">
        <v>615</v>
      </c>
      <c r="AQ27" s="125">
        <v>26</v>
      </c>
      <c r="AR27" s="125">
        <v>2</v>
      </c>
      <c r="AS27" s="125" t="s">
        <v>611</v>
      </c>
      <c r="AT27" s="125">
        <v>1</v>
      </c>
      <c r="AU27" s="125">
        <v>2</v>
      </c>
      <c r="AV27" s="125" t="s">
        <v>611</v>
      </c>
      <c r="AW27" s="125">
        <v>0</v>
      </c>
      <c r="AX27" s="125">
        <v>0</v>
      </c>
      <c r="AY27" s="125">
        <v>22</v>
      </c>
      <c r="BB27" s="258" t="s">
        <v>614</v>
      </c>
      <c r="BC27" s="258" t="s">
        <v>615</v>
      </c>
      <c r="BD27" s="125">
        <v>0</v>
      </c>
      <c r="BE27" s="125">
        <v>0</v>
      </c>
      <c r="BF27" s="125">
        <v>0</v>
      </c>
      <c r="BG27" s="125">
        <v>0</v>
      </c>
      <c r="BH27" s="125">
        <v>0</v>
      </c>
      <c r="BI27" s="125">
        <v>0</v>
      </c>
      <c r="BJ27" s="125">
        <v>0</v>
      </c>
      <c r="BK27" s="261"/>
      <c r="BL27" s="261"/>
      <c r="BM27" s="258" t="s">
        <v>614</v>
      </c>
      <c r="BN27" s="258" t="s">
        <v>615</v>
      </c>
      <c r="BO27" s="261" t="e">
        <f t="shared" si="3"/>
        <v>#VALUE!</v>
      </c>
      <c r="BP27" s="261">
        <f t="shared" si="4"/>
        <v>1</v>
      </c>
      <c r="BQ27" s="261" t="e">
        <f t="shared" si="5"/>
        <v>#VALUE!</v>
      </c>
      <c r="BR27" s="261">
        <f t="shared" si="6"/>
        <v>1</v>
      </c>
      <c r="BS27" s="261" t="e">
        <f t="shared" si="7"/>
        <v>#VALUE!</v>
      </c>
      <c r="BT27" s="261" t="e">
        <f t="shared" si="8"/>
        <v>#VALUE!</v>
      </c>
      <c r="BU27" s="261">
        <f t="shared" si="9"/>
        <v>0</v>
      </c>
      <c r="BV27" s="261">
        <f t="shared" si="10"/>
        <v>0</v>
      </c>
      <c r="BW27" s="125">
        <f t="shared" si="11"/>
        <v>0</v>
      </c>
      <c r="BZ27" s="258" t="s">
        <v>614</v>
      </c>
      <c r="CA27" s="258" t="s">
        <v>615</v>
      </c>
      <c r="CB27" s="261" t="e">
        <f t="shared" si="12"/>
        <v>#VALUE!</v>
      </c>
      <c r="CC27" s="409">
        <f t="shared" si="13"/>
        <v>1</v>
      </c>
      <c r="CD27" s="409" t="e">
        <f t="shared" si="14"/>
        <v>#VALUE!</v>
      </c>
      <c r="CE27" s="409">
        <f t="shared" si="15"/>
        <v>1</v>
      </c>
      <c r="CF27" s="409" t="e">
        <f t="shared" si="16"/>
        <v>#VALUE!</v>
      </c>
      <c r="CG27" s="409" t="e">
        <f t="shared" si="17"/>
        <v>#VALUE!</v>
      </c>
      <c r="CH27" s="409">
        <f t="shared" si="18"/>
        <v>0</v>
      </c>
      <c r="CI27" s="409">
        <f t="shared" si="19"/>
        <v>0</v>
      </c>
      <c r="CJ27" s="409">
        <f t="shared" si="20"/>
        <v>0</v>
      </c>
      <c r="CK27" s="372">
        <f t="shared" si="21"/>
        <v>0</v>
      </c>
      <c r="CM27" s="258" t="s">
        <v>614</v>
      </c>
      <c r="CN27" s="258" t="s">
        <v>615</v>
      </c>
      <c r="CO27" s="5" t="e">
        <f t="shared" si="22"/>
        <v>#VALUE!</v>
      </c>
      <c r="CP27" s="5">
        <f t="shared" si="23"/>
        <v>8.8028169014084509E-4</v>
      </c>
      <c r="CQ27" s="5" t="e">
        <f t="shared" si="24"/>
        <v>#VALUE!</v>
      </c>
      <c r="CR27" s="5">
        <f t="shared" si="25"/>
        <v>1.6806722689075631E-3</v>
      </c>
      <c r="CS27" s="5" t="e">
        <f t="shared" si="26"/>
        <v>#VALUE!</v>
      </c>
      <c r="CT27" s="5" t="e">
        <f t="shared" si="27"/>
        <v>#VALUE!</v>
      </c>
      <c r="CU27" s="5">
        <f t="shared" si="28"/>
        <v>0</v>
      </c>
      <c r="CV27" s="5">
        <f t="shared" si="29"/>
        <v>0</v>
      </c>
      <c r="CW27" s="5">
        <f t="shared" si="30"/>
        <v>0</v>
      </c>
      <c r="CX27" s="5">
        <f t="shared" si="31"/>
        <v>0</v>
      </c>
      <c r="CZ27" s="447" t="s">
        <v>614</v>
      </c>
      <c r="DA27" s="447" t="s">
        <v>615</v>
      </c>
      <c r="DB27" s="18" t="e">
        <f t="shared" si="32"/>
        <v>#VALUE!</v>
      </c>
      <c r="DC27" s="18" t="e">
        <f t="shared" si="33"/>
        <v>#VALUE!</v>
      </c>
      <c r="DD27" s="18">
        <f t="shared" si="34"/>
        <v>0</v>
      </c>
      <c r="DE27" s="18" t="e">
        <f t="shared" si="35"/>
        <v>#VALUE!</v>
      </c>
      <c r="DF27" s="18" t="e">
        <f t="shared" si="36"/>
        <v>#VALUE!</v>
      </c>
      <c r="DG27" s="18" t="e">
        <f t="shared" si="37"/>
        <v>#DIV/0!</v>
      </c>
      <c r="DH27" s="18" t="e">
        <f t="shared" si="38"/>
        <v>#DIV/0!</v>
      </c>
      <c r="DI27" s="18" t="e">
        <f t="shared" si="39"/>
        <v>#DIV/0!</v>
      </c>
      <c r="DJ27" s="18" t="e">
        <f t="shared" si="40"/>
        <v>#DIV/0!</v>
      </c>
    </row>
    <row r="28" spans="1:115" ht="47.25">
      <c r="A28" s="371" t="s">
        <v>616</v>
      </c>
      <c r="B28" s="371" t="s">
        <v>617</v>
      </c>
      <c r="C28" s="362">
        <v>28</v>
      </c>
      <c r="D28" s="362">
        <v>8</v>
      </c>
      <c r="E28" s="362" t="s">
        <v>611</v>
      </c>
      <c r="F28" s="362" t="s">
        <v>611</v>
      </c>
      <c r="G28" s="362">
        <v>19</v>
      </c>
      <c r="H28" s="362" t="s">
        <v>611</v>
      </c>
      <c r="I28" s="372" t="e">
        <f t="shared" si="0"/>
        <v>#VALUE!</v>
      </c>
      <c r="J28" s="362">
        <v>0</v>
      </c>
      <c r="K28" s="362">
        <v>0</v>
      </c>
      <c r="L28" s="362" t="s">
        <v>611</v>
      </c>
      <c r="M28" s="372" t="e">
        <f t="shared" si="1"/>
        <v>#VALUE!</v>
      </c>
      <c r="N28" s="262"/>
      <c r="P28" s="258" t="s">
        <v>616</v>
      </c>
      <c r="Q28" s="258" t="s">
        <v>617</v>
      </c>
      <c r="R28" s="125" t="s">
        <v>611</v>
      </c>
      <c r="S28" s="125">
        <v>0</v>
      </c>
      <c r="T28" s="125">
        <v>0</v>
      </c>
      <c r="U28" s="125" t="s">
        <v>611</v>
      </c>
      <c r="V28" s="125">
        <v>0</v>
      </c>
      <c r="W28" s="125">
        <v>0</v>
      </c>
      <c r="X28" s="125">
        <v>0</v>
      </c>
      <c r="Y28" s="125" t="s">
        <v>611</v>
      </c>
      <c r="Z28" s="125"/>
      <c r="AB28" s="258" t="s">
        <v>616</v>
      </c>
      <c r="AC28" s="258" t="s">
        <v>617</v>
      </c>
      <c r="AD28" s="125">
        <v>28</v>
      </c>
      <c r="AE28" s="125">
        <v>8</v>
      </c>
      <c r="AF28" s="125" t="s">
        <v>611</v>
      </c>
      <c r="AG28" s="125" t="s">
        <v>611</v>
      </c>
      <c r="AH28" s="125">
        <v>18</v>
      </c>
      <c r="AI28" s="125" t="s">
        <v>611</v>
      </c>
      <c r="AJ28" s="125">
        <v>0</v>
      </c>
      <c r="AK28" s="125">
        <v>0</v>
      </c>
      <c r="AL28" s="125" t="s">
        <v>611</v>
      </c>
      <c r="AO28" s="258" t="s">
        <v>616</v>
      </c>
      <c r="AP28" s="258" t="s">
        <v>617</v>
      </c>
      <c r="AQ28" s="125">
        <v>28</v>
      </c>
      <c r="AR28" s="125">
        <v>8</v>
      </c>
      <c r="AS28" s="125" t="s">
        <v>611</v>
      </c>
      <c r="AT28" s="125" t="s">
        <v>611</v>
      </c>
      <c r="AU28" s="125">
        <v>18</v>
      </c>
      <c r="AV28" s="125" t="s">
        <v>611</v>
      </c>
      <c r="AW28" s="125">
        <v>0</v>
      </c>
      <c r="AX28" s="125">
        <v>0</v>
      </c>
      <c r="AY28" s="125" t="s">
        <v>611</v>
      </c>
      <c r="BB28" s="258" t="s">
        <v>616</v>
      </c>
      <c r="BC28" s="258" t="s">
        <v>617</v>
      </c>
      <c r="BD28" s="125" t="s">
        <v>611</v>
      </c>
      <c r="BE28" s="125">
        <v>0</v>
      </c>
      <c r="BF28" s="125" t="s">
        <v>611</v>
      </c>
      <c r="BG28" s="125">
        <v>0</v>
      </c>
      <c r="BH28" s="125">
        <v>0</v>
      </c>
      <c r="BI28" s="125">
        <v>0</v>
      </c>
      <c r="BJ28" s="125">
        <v>0</v>
      </c>
      <c r="BK28" s="261"/>
      <c r="BL28" s="261"/>
      <c r="BM28" s="258" t="s">
        <v>616</v>
      </c>
      <c r="BN28" s="258" t="s">
        <v>617</v>
      </c>
      <c r="BO28" s="261" t="e">
        <f t="shared" si="3"/>
        <v>#VALUE!</v>
      </c>
      <c r="BP28" s="261">
        <f t="shared" si="4"/>
        <v>8</v>
      </c>
      <c r="BQ28" s="261" t="e">
        <f t="shared" si="5"/>
        <v>#VALUE!</v>
      </c>
      <c r="BR28" s="261" t="e">
        <f t="shared" si="6"/>
        <v>#VALUE!</v>
      </c>
      <c r="BS28" s="261" t="e">
        <f t="shared" si="7"/>
        <v>#VALUE!</v>
      </c>
      <c r="BT28" s="261" t="e">
        <f t="shared" si="8"/>
        <v>#VALUE!</v>
      </c>
      <c r="BU28" s="261">
        <f t="shared" si="9"/>
        <v>0</v>
      </c>
      <c r="BV28" s="261">
        <f t="shared" si="10"/>
        <v>0</v>
      </c>
      <c r="BW28" s="125">
        <f t="shared" si="11"/>
        <v>0</v>
      </c>
      <c r="BZ28" s="258" t="s">
        <v>616</v>
      </c>
      <c r="CA28" s="258" t="s">
        <v>617</v>
      </c>
      <c r="CB28" s="261" t="e">
        <f t="shared" si="12"/>
        <v>#VALUE!</v>
      </c>
      <c r="CC28" s="409">
        <f t="shared" si="13"/>
        <v>8</v>
      </c>
      <c r="CD28" s="409" t="e">
        <f t="shared" si="14"/>
        <v>#VALUE!</v>
      </c>
      <c r="CE28" s="409" t="e">
        <f t="shared" si="15"/>
        <v>#VALUE!</v>
      </c>
      <c r="CF28" s="409" t="e">
        <f t="shared" si="16"/>
        <v>#VALUE!</v>
      </c>
      <c r="CG28" s="409" t="e">
        <f t="shared" si="17"/>
        <v>#VALUE!</v>
      </c>
      <c r="CH28" s="409">
        <f t="shared" si="18"/>
        <v>0</v>
      </c>
      <c r="CI28" s="409">
        <f t="shared" si="19"/>
        <v>0</v>
      </c>
      <c r="CJ28" s="409">
        <f t="shared" si="20"/>
        <v>0</v>
      </c>
      <c r="CK28" s="372">
        <f t="shared" si="21"/>
        <v>0</v>
      </c>
      <c r="CM28" s="258" t="s">
        <v>616</v>
      </c>
      <c r="CN28" s="258" t="s">
        <v>617</v>
      </c>
      <c r="CO28" s="5" t="e">
        <f t="shared" si="22"/>
        <v>#VALUE!</v>
      </c>
      <c r="CP28" s="5">
        <f t="shared" si="23"/>
        <v>7.0422535211267607E-3</v>
      </c>
      <c r="CQ28" s="5" t="e">
        <f t="shared" si="24"/>
        <v>#VALUE!</v>
      </c>
      <c r="CR28" s="5" t="e">
        <f t="shared" si="25"/>
        <v>#VALUE!</v>
      </c>
      <c r="CS28" s="5" t="e">
        <f t="shared" si="26"/>
        <v>#VALUE!</v>
      </c>
      <c r="CT28" s="5" t="e">
        <f t="shared" si="27"/>
        <v>#VALUE!</v>
      </c>
      <c r="CU28" s="5">
        <f t="shared" si="28"/>
        <v>0</v>
      </c>
      <c r="CV28" s="5">
        <f t="shared" si="29"/>
        <v>0</v>
      </c>
      <c r="CW28" s="5">
        <f t="shared" si="30"/>
        <v>0</v>
      </c>
      <c r="CX28" s="5">
        <f t="shared" si="31"/>
        <v>0</v>
      </c>
      <c r="CZ28" s="447" t="s">
        <v>616</v>
      </c>
      <c r="DA28" s="447" t="s">
        <v>617</v>
      </c>
      <c r="DB28" s="18" t="e">
        <f t="shared" si="32"/>
        <v>#VALUE!</v>
      </c>
      <c r="DC28" s="18" t="e">
        <f t="shared" si="33"/>
        <v>#VALUE!</v>
      </c>
      <c r="DD28" s="18" t="e">
        <f t="shared" si="34"/>
        <v>#VALUE!</v>
      </c>
      <c r="DE28" s="18" t="e">
        <f t="shared" si="35"/>
        <v>#VALUE!</v>
      </c>
      <c r="DF28" s="18" t="e">
        <f t="shared" si="36"/>
        <v>#VALUE!</v>
      </c>
      <c r="DG28" s="18" t="e">
        <f t="shared" si="37"/>
        <v>#DIV/0!</v>
      </c>
      <c r="DH28" s="18" t="e">
        <f t="shared" si="38"/>
        <v>#DIV/0!</v>
      </c>
      <c r="DI28" s="18" t="e">
        <f t="shared" si="39"/>
        <v>#DIV/0!</v>
      </c>
      <c r="DJ28" s="18" t="e">
        <f t="shared" si="40"/>
        <v>#DIV/0!</v>
      </c>
    </row>
    <row r="29" spans="1:115">
      <c r="A29" s="371" t="s">
        <v>618</v>
      </c>
      <c r="B29" s="371" t="s">
        <v>619</v>
      </c>
      <c r="C29" s="362">
        <v>13</v>
      </c>
      <c r="D29" s="362">
        <v>7</v>
      </c>
      <c r="E29" s="362">
        <v>0</v>
      </c>
      <c r="F29" s="362" t="s">
        <v>611</v>
      </c>
      <c r="G29" s="362">
        <v>6</v>
      </c>
      <c r="H29" s="362" t="s">
        <v>611</v>
      </c>
      <c r="I29" s="372" t="e">
        <f t="shared" si="0"/>
        <v>#VALUE!</v>
      </c>
      <c r="J29" s="362">
        <v>0</v>
      </c>
      <c r="K29" s="362">
        <v>0</v>
      </c>
      <c r="L29" s="362" t="s">
        <v>611</v>
      </c>
      <c r="M29" s="372" t="e">
        <f t="shared" si="1"/>
        <v>#VALUE!</v>
      </c>
      <c r="N29" s="262"/>
      <c r="P29" s="258" t="s">
        <v>618</v>
      </c>
      <c r="Q29" s="258" t="s">
        <v>619</v>
      </c>
      <c r="R29" s="125" t="s">
        <v>611</v>
      </c>
      <c r="S29" s="125">
        <v>0</v>
      </c>
      <c r="T29" s="125">
        <v>0</v>
      </c>
      <c r="U29" s="125">
        <v>0</v>
      </c>
      <c r="V29" s="125">
        <v>0</v>
      </c>
      <c r="W29" s="125">
        <v>0</v>
      </c>
      <c r="X29" s="125">
        <v>0</v>
      </c>
      <c r="Y29" s="125" t="s">
        <v>611</v>
      </c>
      <c r="Z29" s="125"/>
      <c r="AB29" s="258" t="s">
        <v>618</v>
      </c>
      <c r="AC29" s="258" t="s">
        <v>619</v>
      </c>
      <c r="AD29" s="125">
        <v>13</v>
      </c>
      <c r="AE29" s="125">
        <v>7</v>
      </c>
      <c r="AF29" s="125">
        <v>0</v>
      </c>
      <c r="AG29" s="125" t="s">
        <v>611</v>
      </c>
      <c r="AH29" s="125">
        <v>6</v>
      </c>
      <c r="AI29" s="125" t="s">
        <v>611</v>
      </c>
      <c r="AJ29" s="125">
        <v>0</v>
      </c>
      <c r="AK29" s="125">
        <v>0</v>
      </c>
      <c r="AL29" s="125" t="s">
        <v>611</v>
      </c>
      <c r="AO29" s="258" t="s">
        <v>618</v>
      </c>
      <c r="AP29" s="258" t="s">
        <v>619</v>
      </c>
      <c r="AQ29" s="125">
        <v>13</v>
      </c>
      <c r="AR29" s="125">
        <v>7</v>
      </c>
      <c r="AS29" s="125">
        <v>0</v>
      </c>
      <c r="AT29" s="125" t="s">
        <v>611</v>
      </c>
      <c r="AU29" s="125">
        <v>6</v>
      </c>
      <c r="AV29" s="125" t="s">
        <v>611</v>
      </c>
      <c r="AW29" s="125">
        <v>0</v>
      </c>
      <c r="AX29" s="125">
        <v>0</v>
      </c>
      <c r="AY29" s="125" t="s">
        <v>611</v>
      </c>
      <c r="BB29" s="258" t="s">
        <v>618</v>
      </c>
      <c r="BC29" s="258" t="s">
        <v>619</v>
      </c>
      <c r="BD29" s="125">
        <v>0</v>
      </c>
      <c r="BE29" s="125">
        <v>0</v>
      </c>
      <c r="BF29" s="125">
        <v>0</v>
      </c>
      <c r="BG29" s="125">
        <v>0</v>
      </c>
      <c r="BH29" s="125">
        <v>0</v>
      </c>
      <c r="BI29" s="125">
        <v>0</v>
      </c>
      <c r="BJ29" s="125">
        <v>0</v>
      </c>
      <c r="BK29" s="261"/>
      <c r="BL29" s="261"/>
      <c r="BM29" s="258" t="s">
        <v>618</v>
      </c>
      <c r="BN29" s="258" t="s">
        <v>619</v>
      </c>
      <c r="BO29" s="261" t="e">
        <f t="shared" si="3"/>
        <v>#VALUE!</v>
      </c>
      <c r="BP29" s="261">
        <f t="shared" si="4"/>
        <v>7</v>
      </c>
      <c r="BQ29" s="261">
        <f t="shared" si="5"/>
        <v>0</v>
      </c>
      <c r="BR29" s="261" t="e">
        <f t="shared" si="6"/>
        <v>#VALUE!</v>
      </c>
      <c r="BS29" s="261">
        <f t="shared" si="7"/>
        <v>6</v>
      </c>
      <c r="BT29" s="261" t="e">
        <f t="shared" si="8"/>
        <v>#VALUE!</v>
      </c>
      <c r="BU29" s="261">
        <f t="shared" si="9"/>
        <v>0</v>
      </c>
      <c r="BV29" s="261">
        <f t="shared" si="10"/>
        <v>0</v>
      </c>
      <c r="BW29" s="125">
        <f t="shared" si="11"/>
        <v>0</v>
      </c>
      <c r="BZ29" s="258" t="s">
        <v>618</v>
      </c>
      <c r="CA29" s="258" t="s">
        <v>619</v>
      </c>
      <c r="CB29" s="261" t="e">
        <f t="shared" si="12"/>
        <v>#VALUE!</v>
      </c>
      <c r="CC29" s="409">
        <f t="shared" si="13"/>
        <v>7</v>
      </c>
      <c r="CD29" s="409">
        <f t="shared" si="14"/>
        <v>0</v>
      </c>
      <c r="CE29" s="409" t="e">
        <f t="shared" si="15"/>
        <v>#VALUE!</v>
      </c>
      <c r="CF29" s="409">
        <f t="shared" si="16"/>
        <v>6</v>
      </c>
      <c r="CG29" s="409" t="e">
        <f t="shared" si="17"/>
        <v>#VALUE!</v>
      </c>
      <c r="CH29" s="409">
        <f t="shared" si="18"/>
        <v>0</v>
      </c>
      <c r="CI29" s="409">
        <f t="shared" si="19"/>
        <v>0</v>
      </c>
      <c r="CJ29" s="409">
        <f t="shared" si="20"/>
        <v>0</v>
      </c>
      <c r="CK29" s="372">
        <f t="shared" si="21"/>
        <v>0</v>
      </c>
      <c r="CM29" s="258" t="s">
        <v>618</v>
      </c>
      <c r="CN29" s="258" t="s">
        <v>619</v>
      </c>
      <c r="CO29" s="5" t="e">
        <f t="shared" si="22"/>
        <v>#VALUE!</v>
      </c>
      <c r="CP29" s="5">
        <f t="shared" si="23"/>
        <v>6.1619718309859151E-3</v>
      </c>
      <c r="CQ29" s="5">
        <f t="shared" si="24"/>
        <v>0</v>
      </c>
      <c r="CR29" s="5" t="e">
        <f t="shared" si="25"/>
        <v>#VALUE!</v>
      </c>
      <c r="CS29" s="5">
        <f t="shared" si="26"/>
        <v>1.7406440382941688E-3</v>
      </c>
      <c r="CT29" s="5" t="e">
        <f t="shared" si="27"/>
        <v>#VALUE!</v>
      </c>
      <c r="CU29" s="5">
        <f t="shared" si="28"/>
        <v>0</v>
      </c>
      <c r="CV29" s="5">
        <f t="shared" si="29"/>
        <v>0</v>
      </c>
      <c r="CW29" s="5">
        <f t="shared" si="30"/>
        <v>0</v>
      </c>
      <c r="CX29" s="5">
        <f t="shared" si="31"/>
        <v>0</v>
      </c>
      <c r="CZ29" s="447" t="s">
        <v>618</v>
      </c>
      <c r="DA29" s="447" t="s">
        <v>619</v>
      </c>
      <c r="DB29" s="18" t="e">
        <f t="shared" si="32"/>
        <v>#VALUE!</v>
      </c>
      <c r="DC29" s="18" t="e">
        <f t="shared" si="33"/>
        <v>#DIV/0!</v>
      </c>
      <c r="DD29" s="18" t="e">
        <f t="shared" si="34"/>
        <v>#VALUE!</v>
      </c>
      <c r="DE29" s="18">
        <f t="shared" si="35"/>
        <v>0</v>
      </c>
      <c r="DF29" s="18" t="e">
        <f t="shared" si="36"/>
        <v>#VALUE!</v>
      </c>
      <c r="DG29" s="18" t="e">
        <f t="shared" si="37"/>
        <v>#DIV/0!</v>
      </c>
      <c r="DH29" s="18" t="e">
        <f t="shared" si="38"/>
        <v>#DIV/0!</v>
      </c>
      <c r="DI29" s="18" t="e">
        <f t="shared" si="39"/>
        <v>#DIV/0!</v>
      </c>
      <c r="DJ29" s="18" t="e">
        <f t="shared" si="40"/>
        <v>#DIV/0!</v>
      </c>
    </row>
    <row r="30" spans="1:115" ht="35.65">
      <c r="A30" s="371" t="s">
        <v>620</v>
      </c>
      <c r="B30" s="371" t="s">
        <v>621</v>
      </c>
      <c r="C30" s="362">
        <v>92</v>
      </c>
      <c r="D30" s="362">
        <v>30</v>
      </c>
      <c r="E30" s="362">
        <v>1</v>
      </c>
      <c r="F30" s="362">
        <v>3</v>
      </c>
      <c r="G30" s="362">
        <v>56</v>
      </c>
      <c r="H30" s="362">
        <v>1</v>
      </c>
      <c r="I30" s="372" t="e">
        <f t="shared" si="0"/>
        <v>#VALUE!</v>
      </c>
      <c r="J30" s="362">
        <v>0</v>
      </c>
      <c r="K30" s="362">
        <v>0</v>
      </c>
      <c r="L30" s="362" t="s">
        <v>631</v>
      </c>
      <c r="M30" s="372" t="e">
        <f t="shared" si="1"/>
        <v>#VALUE!</v>
      </c>
      <c r="N30" s="262"/>
      <c r="P30" s="258" t="s">
        <v>620</v>
      </c>
      <c r="Q30" s="258" t="s">
        <v>621</v>
      </c>
      <c r="R30" s="125" t="s">
        <v>611</v>
      </c>
      <c r="S30" s="125">
        <v>0</v>
      </c>
      <c r="T30" s="125">
        <v>0</v>
      </c>
      <c r="U30" s="125" t="s">
        <v>611</v>
      </c>
      <c r="V30" s="125">
        <v>0</v>
      </c>
      <c r="W30" s="125">
        <v>0</v>
      </c>
      <c r="X30" s="125">
        <v>0</v>
      </c>
      <c r="Y30" s="125" t="s">
        <v>611</v>
      </c>
      <c r="Z30" s="125"/>
      <c r="AB30" s="258" t="s">
        <v>620</v>
      </c>
      <c r="AC30" s="258" t="s">
        <v>621</v>
      </c>
      <c r="AD30" s="125">
        <v>93</v>
      </c>
      <c r="AE30" s="125">
        <v>30</v>
      </c>
      <c r="AF30" s="125">
        <v>1</v>
      </c>
      <c r="AG30" s="125">
        <v>3</v>
      </c>
      <c r="AH30" s="125">
        <v>56</v>
      </c>
      <c r="AI30" s="125">
        <v>1</v>
      </c>
      <c r="AJ30" s="125">
        <v>0</v>
      </c>
      <c r="AK30" s="125">
        <v>0</v>
      </c>
      <c r="AL30" s="125">
        <v>2</v>
      </c>
      <c r="AO30" s="258" t="s">
        <v>620</v>
      </c>
      <c r="AP30" s="258" t="s">
        <v>621</v>
      </c>
      <c r="AQ30" s="125">
        <v>93</v>
      </c>
      <c r="AR30" s="125">
        <v>30</v>
      </c>
      <c r="AS30" s="125">
        <v>1</v>
      </c>
      <c r="AT30" s="125">
        <v>3</v>
      </c>
      <c r="AU30" s="125">
        <v>56</v>
      </c>
      <c r="AV30" s="125">
        <v>1</v>
      </c>
      <c r="AW30" s="125">
        <v>0</v>
      </c>
      <c r="AX30" s="125">
        <v>0</v>
      </c>
      <c r="AY30" s="125">
        <v>2</v>
      </c>
      <c r="BB30" s="258" t="s">
        <v>620</v>
      </c>
      <c r="BC30" s="258" t="s">
        <v>621</v>
      </c>
      <c r="BD30" s="125">
        <v>1</v>
      </c>
      <c r="BE30" s="125">
        <v>0</v>
      </c>
      <c r="BF30" s="125">
        <v>1</v>
      </c>
      <c r="BG30" s="125">
        <v>0</v>
      </c>
      <c r="BH30" s="125">
        <v>0</v>
      </c>
      <c r="BI30" s="125">
        <v>0</v>
      </c>
      <c r="BJ30" s="125" t="s">
        <v>611</v>
      </c>
      <c r="BK30" s="261"/>
      <c r="BL30" s="261"/>
      <c r="BM30" s="258" t="s">
        <v>620</v>
      </c>
      <c r="BN30" s="258" t="s">
        <v>621</v>
      </c>
      <c r="BO30" s="261" t="e">
        <f t="shared" si="3"/>
        <v>#VALUE!</v>
      </c>
      <c r="BP30" s="261">
        <f t="shared" si="4"/>
        <v>30</v>
      </c>
      <c r="BQ30" s="261" t="e">
        <f t="shared" si="5"/>
        <v>#VALUE!</v>
      </c>
      <c r="BR30" s="261">
        <f t="shared" si="6"/>
        <v>3</v>
      </c>
      <c r="BS30" s="261" t="e">
        <f t="shared" si="7"/>
        <v>#VALUE!</v>
      </c>
      <c r="BT30" s="261" t="e">
        <f t="shared" si="8"/>
        <v>#VALUE!</v>
      </c>
      <c r="BU30" s="261">
        <f t="shared" si="9"/>
        <v>0</v>
      </c>
      <c r="BV30" s="261">
        <f t="shared" si="10"/>
        <v>0</v>
      </c>
      <c r="BW30" s="125">
        <f t="shared" si="11"/>
        <v>0</v>
      </c>
      <c r="BZ30" s="258" t="s">
        <v>620</v>
      </c>
      <c r="CA30" s="258" t="s">
        <v>621</v>
      </c>
      <c r="CB30" s="261" t="e">
        <f t="shared" si="12"/>
        <v>#VALUE!</v>
      </c>
      <c r="CC30" s="409">
        <f t="shared" si="13"/>
        <v>30</v>
      </c>
      <c r="CD30" s="409">
        <f t="shared" si="14"/>
        <v>1</v>
      </c>
      <c r="CE30" s="409">
        <f t="shared" si="15"/>
        <v>3</v>
      </c>
      <c r="CF30" s="409" t="e">
        <f t="shared" si="16"/>
        <v>#VALUE!</v>
      </c>
      <c r="CG30" s="409" t="e">
        <f t="shared" si="17"/>
        <v>#VALUE!</v>
      </c>
      <c r="CH30" s="409">
        <f t="shared" si="18"/>
        <v>0</v>
      </c>
      <c r="CI30" s="409">
        <f t="shared" si="19"/>
        <v>0</v>
      </c>
      <c r="CJ30" s="409">
        <f t="shared" si="20"/>
        <v>0</v>
      </c>
      <c r="CK30" s="372">
        <f t="shared" si="21"/>
        <v>0</v>
      </c>
      <c r="CM30" s="258" t="s">
        <v>620</v>
      </c>
      <c r="CN30" s="258" t="s">
        <v>621</v>
      </c>
      <c r="CO30" s="5" t="e">
        <f t="shared" si="22"/>
        <v>#VALUE!</v>
      </c>
      <c r="CP30" s="5">
        <f t="shared" si="23"/>
        <v>2.6408450704225352E-2</v>
      </c>
      <c r="CQ30" s="5">
        <f t="shared" si="24"/>
        <v>1.1904761904761904E-2</v>
      </c>
      <c r="CR30" s="5">
        <f t="shared" si="25"/>
        <v>5.0420168067226894E-3</v>
      </c>
      <c r="CS30" s="5" t="e">
        <f t="shared" si="26"/>
        <v>#VALUE!</v>
      </c>
      <c r="CT30" s="5" t="e">
        <f t="shared" si="27"/>
        <v>#VALUE!</v>
      </c>
      <c r="CU30" s="5">
        <f t="shared" si="28"/>
        <v>0</v>
      </c>
      <c r="CV30" s="5">
        <f t="shared" si="29"/>
        <v>0</v>
      </c>
      <c r="CW30" s="5">
        <f t="shared" si="30"/>
        <v>0</v>
      </c>
      <c r="CX30" s="5">
        <f t="shared" si="31"/>
        <v>0</v>
      </c>
      <c r="CZ30" s="447" t="s">
        <v>620</v>
      </c>
      <c r="DA30" s="447" t="s">
        <v>621</v>
      </c>
      <c r="DB30" s="18" t="e">
        <f t="shared" si="32"/>
        <v>#VALUE!</v>
      </c>
      <c r="DC30" s="18">
        <f t="shared" si="33"/>
        <v>0</v>
      </c>
      <c r="DD30" s="18">
        <f t="shared" si="34"/>
        <v>0</v>
      </c>
      <c r="DE30" s="18" t="e">
        <f t="shared" si="35"/>
        <v>#VALUE!</v>
      </c>
      <c r="DF30" s="18" t="e">
        <f t="shared" si="36"/>
        <v>#VALUE!</v>
      </c>
      <c r="DG30" s="18" t="e">
        <f t="shared" si="37"/>
        <v>#DIV/0!</v>
      </c>
      <c r="DH30" s="18" t="e">
        <f t="shared" si="38"/>
        <v>#DIV/0!</v>
      </c>
      <c r="DI30" s="18" t="e">
        <f t="shared" si="39"/>
        <v>#DIV/0!</v>
      </c>
      <c r="DJ30" s="18" t="e">
        <f t="shared" si="40"/>
        <v>#DIV/0!</v>
      </c>
    </row>
    <row r="31" spans="1:115" ht="35.65">
      <c r="A31" s="371" t="s">
        <v>771</v>
      </c>
      <c r="B31" s="371" t="s">
        <v>622</v>
      </c>
      <c r="C31" s="362">
        <v>41</v>
      </c>
      <c r="D31" s="362">
        <v>13</v>
      </c>
      <c r="E31" s="362" t="s">
        <v>611</v>
      </c>
      <c r="F31" s="362" t="s">
        <v>611</v>
      </c>
      <c r="G31" s="362">
        <v>23</v>
      </c>
      <c r="H31" s="362" t="s">
        <v>611</v>
      </c>
      <c r="I31" s="372" t="e">
        <f t="shared" si="0"/>
        <v>#VALUE!</v>
      </c>
      <c r="J31" s="362">
        <v>3</v>
      </c>
      <c r="K31" s="362">
        <v>0</v>
      </c>
      <c r="L31" s="362">
        <v>1</v>
      </c>
      <c r="M31" s="372" t="e">
        <f t="shared" si="1"/>
        <v>#VALUE!</v>
      </c>
      <c r="N31" s="262"/>
      <c r="P31" s="258" t="s">
        <v>771</v>
      </c>
      <c r="Q31" s="258" t="s">
        <v>622</v>
      </c>
      <c r="R31" s="125" t="s">
        <v>611</v>
      </c>
      <c r="S31" s="125">
        <v>0</v>
      </c>
      <c r="T31" s="125" t="s">
        <v>611</v>
      </c>
      <c r="U31" s="125">
        <v>0</v>
      </c>
      <c r="V31" s="125">
        <v>0</v>
      </c>
      <c r="W31" s="125">
        <v>0</v>
      </c>
      <c r="X31" s="125">
        <v>0</v>
      </c>
      <c r="Y31" s="125" t="s">
        <v>611</v>
      </c>
      <c r="Z31" s="125"/>
      <c r="AB31" s="258" t="s">
        <v>771</v>
      </c>
      <c r="AC31" s="258" t="s">
        <v>622</v>
      </c>
      <c r="AD31" s="125">
        <v>41</v>
      </c>
      <c r="AE31" s="125">
        <v>13</v>
      </c>
      <c r="AF31" s="125" t="s">
        <v>611</v>
      </c>
      <c r="AG31" s="125" t="s">
        <v>611</v>
      </c>
      <c r="AH31" s="125">
        <v>23</v>
      </c>
      <c r="AI31" s="125" t="s">
        <v>611</v>
      </c>
      <c r="AJ31" s="125">
        <v>3</v>
      </c>
      <c r="AK31" s="125">
        <v>0</v>
      </c>
      <c r="AL31" s="125">
        <v>2</v>
      </c>
      <c r="AO31" s="258" t="s">
        <v>771</v>
      </c>
      <c r="AP31" s="258" t="s">
        <v>622</v>
      </c>
      <c r="AQ31" s="125">
        <v>41</v>
      </c>
      <c r="AR31" s="125">
        <v>13</v>
      </c>
      <c r="AS31" s="125" t="s">
        <v>611</v>
      </c>
      <c r="AT31" s="125" t="s">
        <v>611</v>
      </c>
      <c r="AU31" s="125">
        <v>23</v>
      </c>
      <c r="AV31" s="125" t="s">
        <v>611</v>
      </c>
      <c r="AW31" s="125">
        <v>3</v>
      </c>
      <c r="AX31" s="125">
        <v>0</v>
      </c>
      <c r="AY31" s="125">
        <v>1</v>
      </c>
      <c r="BB31" s="258" t="s">
        <v>771</v>
      </c>
      <c r="BC31" s="258" t="s">
        <v>622</v>
      </c>
      <c r="BD31" s="125">
        <v>1</v>
      </c>
      <c r="BE31" s="125">
        <v>0</v>
      </c>
      <c r="BF31" s="125" t="s">
        <v>611</v>
      </c>
      <c r="BG31" s="125">
        <v>0</v>
      </c>
      <c r="BH31" s="125">
        <v>0</v>
      </c>
      <c r="BI31" s="125">
        <v>1</v>
      </c>
      <c r="BJ31" s="125" t="s">
        <v>611</v>
      </c>
      <c r="BK31" s="261"/>
      <c r="BL31" s="261"/>
      <c r="BM31" s="258" t="s">
        <v>771</v>
      </c>
      <c r="BN31" s="258" t="s">
        <v>622</v>
      </c>
      <c r="BO31" s="261" t="e">
        <f t="shared" si="3"/>
        <v>#VALUE!</v>
      </c>
      <c r="BP31" s="261">
        <f t="shared" si="4"/>
        <v>13</v>
      </c>
      <c r="BQ31" s="261" t="e">
        <f t="shared" si="5"/>
        <v>#VALUE!</v>
      </c>
      <c r="BR31" s="261" t="e">
        <f>T31+AG31+BX31</f>
        <v>#VALUE!</v>
      </c>
      <c r="BS31" s="261">
        <f t="shared" si="7"/>
        <v>23</v>
      </c>
      <c r="BT31" s="261" t="e">
        <f t="shared" si="8"/>
        <v>#VALUE!</v>
      </c>
      <c r="BU31" s="261">
        <f t="shared" si="9"/>
        <v>3</v>
      </c>
      <c r="BV31" s="261">
        <f t="shared" si="10"/>
        <v>0</v>
      </c>
      <c r="BW31" s="125">
        <f t="shared" si="11"/>
        <v>1</v>
      </c>
      <c r="BZ31" s="258" t="s">
        <v>771</v>
      </c>
      <c r="CA31" s="258" t="s">
        <v>622</v>
      </c>
      <c r="CB31" s="261" t="e">
        <f t="shared" si="12"/>
        <v>#VALUE!</v>
      </c>
      <c r="CC31" s="409">
        <f t="shared" si="13"/>
        <v>13</v>
      </c>
      <c r="CD31" s="409" t="e">
        <f t="shared" si="14"/>
        <v>#VALUE!</v>
      </c>
      <c r="CE31" s="409" t="e">
        <f t="shared" si="15"/>
        <v>#VALUE!</v>
      </c>
      <c r="CF31" s="409">
        <f t="shared" si="16"/>
        <v>23</v>
      </c>
      <c r="CG31" s="409" t="e">
        <f t="shared" si="17"/>
        <v>#VALUE!</v>
      </c>
      <c r="CH31" s="409">
        <f t="shared" si="18"/>
        <v>3</v>
      </c>
      <c r="CI31" s="409">
        <f t="shared" si="19"/>
        <v>0</v>
      </c>
      <c r="CJ31" s="409">
        <f t="shared" si="20"/>
        <v>1</v>
      </c>
      <c r="CK31" s="372">
        <f t="shared" si="21"/>
        <v>0</v>
      </c>
      <c r="CM31" s="258" t="s">
        <v>771</v>
      </c>
      <c r="CN31" s="258" t="s">
        <v>622</v>
      </c>
      <c r="CO31" s="5" t="e">
        <f t="shared" si="22"/>
        <v>#VALUE!</v>
      </c>
      <c r="CP31" s="5">
        <f t="shared" si="23"/>
        <v>1.1443661971830986E-2</v>
      </c>
      <c r="CQ31" s="5" t="e">
        <f t="shared" si="24"/>
        <v>#VALUE!</v>
      </c>
      <c r="CR31" s="5" t="e">
        <f t="shared" si="25"/>
        <v>#VALUE!</v>
      </c>
      <c r="CS31" s="5">
        <f t="shared" si="26"/>
        <v>6.6724688134609808E-3</v>
      </c>
      <c r="CT31" s="5" t="e">
        <f t="shared" si="27"/>
        <v>#VALUE!</v>
      </c>
      <c r="CU31" s="5">
        <f t="shared" si="28"/>
        <v>7.7519379844961239E-3</v>
      </c>
      <c r="CV31" s="5">
        <f t="shared" si="29"/>
        <v>0</v>
      </c>
      <c r="CW31" s="5">
        <f t="shared" si="30"/>
        <v>7.1428571428571426E-3</v>
      </c>
      <c r="CX31" s="5">
        <f t="shared" si="31"/>
        <v>2.3474178403755869E-3</v>
      </c>
      <c r="CZ31" s="447" t="s">
        <v>771</v>
      </c>
      <c r="DA31" s="447" t="s">
        <v>622</v>
      </c>
      <c r="DB31" s="18" t="e">
        <f t="shared" si="32"/>
        <v>#VALUE!</v>
      </c>
      <c r="DC31" s="18" t="e">
        <f t="shared" si="33"/>
        <v>#VALUE!</v>
      </c>
      <c r="DD31" s="18" t="e">
        <f t="shared" si="34"/>
        <v>#VALUE!</v>
      </c>
      <c r="DE31" s="18">
        <f t="shared" si="35"/>
        <v>0</v>
      </c>
      <c r="DF31" s="18" t="e">
        <f t="shared" si="36"/>
        <v>#VALUE!</v>
      </c>
      <c r="DG31" s="18">
        <f t="shared" si="37"/>
        <v>0</v>
      </c>
      <c r="DH31" s="18" t="e">
        <f t="shared" si="38"/>
        <v>#DIV/0!</v>
      </c>
      <c r="DI31" s="18">
        <f t="shared" si="39"/>
        <v>0</v>
      </c>
      <c r="DJ31" s="18">
        <f t="shared" si="40"/>
        <v>0</v>
      </c>
    </row>
    <row r="32" spans="1:115">
      <c r="A32" s="371" t="s">
        <v>623</v>
      </c>
      <c r="B32" s="371" t="s">
        <v>624</v>
      </c>
      <c r="C32" s="362">
        <v>33</v>
      </c>
      <c r="D32" s="362">
        <v>10</v>
      </c>
      <c r="E32" s="362">
        <v>0</v>
      </c>
      <c r="F32" s="362" t="s">
        <v>611</v>
      </c>
      <c r="G32" s="362">
        <v>18</v>
      </c>
      <c r="H32" s="362" t="s">
        <v>611</v>
      </c>
      <c r="I32" s="372" t="e">
        <f t="shared" si="0"/>
        <v>#VALUE!</v>
      </c>
      <c r="J32" s="362">
        <v>2</v>
      </c>
      <c r="K32" s="362">
        <v>0</v>
      </c>
      <c r="L32" s="362">
        <v>1</v>
      </c>
      <c r="M32" s="372" t="e">
        <f t="shared" si="1"/>
        <v>#VALUE!</v>
      </c>
      <c r="N32" s="262"/>
      <c r="P32" s="258" t="s">
        <v>623</v>
      </c>
      <c r="Q32" s="258" t="s">
        <v>624</v>
      </c>
      <c r="R32" s="125" t="s">
        <v>611</v>
      </c>
      <c r="S32" s="125">
        <v>0</v>
      </c>
      <c r="T32" s="125">
        <v>0</v>
      </c>
      <c r="U32" s="125">
        <v>0</v>
      </c>
      <c r="V32" s="125">
        <v>0</v>
      </c>
      <c r="W32" s="125">
        <v>0</v>
      </c>
      <c r="X32" s="125">
        <v>0</v>
      </c>
      <c r="Y32" s="125" t="s">
        <v>611</v>
      </c>
      <c r="Z32" s="125"/>
      <c r="AB32" s="258" t="s">
        <v>623</v>
      </c>
      <c r="AC32" s="258" t="s">
        <v>624</v>
      </c>
      <c r="AD32" s="125">
        <v>33</v>
      </c>
      <c r="AE32" s="125">
        <v>10</v>
      </c>
      <c r="AF32" s="125">
        <v>0</v>
      </c>
      <c r="AG32" s="125" t="s">
        <v>611</v>
      </c>
      <c r="AH32" s="125">
        <v>18</v>
      </c>
      <c r="AI32" s="125" t="s">
        <v>611</v>
      </c>
      <c r="AJ32" s="125">
        <v>2</v>
      </c>
      <c r="AK32" s="125">
        <v>0</v>
      </c>
      <c r="AL32" s="125">
        <v>2</v>
      </c>
      <c r="AO32" s="258" t="s">
        <v>623</v>
      </c>
      <c r="AP32" s="258" t="s">
        <v>624</v>
      </c>
      <c r="AQ32" s="125">
        <v>33</v>
      </c>
      <c r="AR32" s="125">
        <v>10</v>
      </c>
      <c r="AS32" s="125">
        <v>0</v>
      </c>
      <c r="AT32" s="125" t="s">
        <v>611</v>
      </c>
      <c r="AU32" s="125">
        <v>18</v>
      </c>
      <c r="AV32" s="125" t="s">
        <v>611</v>
      </c>
      <c r="AW32" s="125">
        <v>2</v>
      </c>
      <c r="AX32" s="125">
        <v>0</v>
      </c>
      <c r="AY32" s="125">
        <v>1</v>
      </c>
      <c r="BB32" s="258" t="s">
        <v>623</v>
      </c>
      <c r="BC32" s="258" t="s">
        <v>624</v>
      </c>
      <c r="BD32" s="125">
        <v>1</v>
      </c>
      <c r="BE32" s="125">
        <v>0</v>
      </c>
      <c r="BF32" s="125" t="s">
        <v>611</v>
      </c>
      <c r="BG32" s="125">
        <v>0</v>
      </c>
      <c r="BH32" s="125">
        <v>0</v>
      </c>
      <c r="BI32" s="125">
        <v>1</v>
      </c>
      <c r="BJ32" s="125" t="s">
        <v>611</v>
      </c>
      <c r="BK32" s="261"/>
      <c r="BL32" s="261"/>
      <c r="BM32" s="258" t="s">
        <v>623</v>
      </c>
      <c r="BN32" s="258" t="s">
        <v>624</v>
      </c>
      <c r="BO32" s="261" t="e">
        <f t="shared" si="3"/>
        <v>#VALUE!</v>
      </c>
      <c r="BP32" s="261">
        <f t="shared" si="4"/>
        <v>10</v>
      </c>
      <c r="BQ32" s="261" t="e">
        <f t="shared" si="5"/>
        <v>#VALUE!</v>
      </c>
      <c r="BR32" s="261" t="e">
        <f t="shared" si="6"/>
        <v>#VALUE!</v>
      </c>
      <c r="BS32" s="261">
        <f t="shared" si="7"/>
        <v>18</v>
      </c>
      <c r="BT32" s="261" t="e">
        <f t="shared" si="8"/>
        <v>#VALUE!</v>
      </c>
      <c r="BU32" s="261">
        <f t="shared" si="9"/>
        <v>2</v>
      </c>
      <c r="BV32" s="261">
        <f t="shared" si="10"/>
        <v>0</v>
      </c>
      <c r="BW32" s="125">
        <f t="shared" si="11"/>
        <v>1</v>
      </c>
      <c r="BZ32" s="258" t="s">
        <v>623</v>
      </c>
      <c r="CA32" s="258" t="s">
        <v>624</v>
      </c>
      <c r="CB32" s="261" t="e">
        <f t="shared" si="12"/>
        <v>#VALUE!</v>
      </c>
      <c r="CC32" s="409">
        <f t="shared" si="13"/>
        <v>10</v>
      </c>
      <c r="CD32" s="409">
        <f t="shared" si="14"/>
        <v>0</v>
      </c>
      <c r="CE32" s="409" t="e">
        <f t="shared" si="15"/>
        <v>#VALUE!</v>
      </c>
      <c r="CF32" s="409">
        <f t="shared" si="16"/>
        <v>18</v>
      </c>
      <c r="CG32" s="409" t="e">
        <f t="shared" si="17"/>
        <v>#VALUE!</v>
      </c>
      <c r="CH32" s="409">
        <f t="shared" si="18"/>
        <v>2</v>
      </c>
      <c r="CI32" s="409">
        <f t="shared" si="19"/>
        <v>0</v>
      </c>
      <c r="CJ32" s="409">
        <f t="shared" si="20"/>
        <v>1</v>
      </c>
      <c r="CK32" s="372">
        <f t="shared" si="21"/>
        <v>0</v>
      </c>
      <c r="CM32" s="258" t="s">
        <v>623</v>
      </c>
      <c r="CN32" s="258" t="s">
        <v>624</v>
      </c>
      <c r="CO32" s="5" t="e">
        <f t="shared" si="22"/>
        <v>#VALUE!</v>
      </c>
      <c r="CP32" s="5">
        <f t="shared" si="23"/>
        <v>8.8028169014084511E-3</v>
      </c>
      <c r="CQ32" s="5">
        <f t="shared" si="24"/>
        <v>0</v>
      </c>
      <c r="CR32" s="5" t="e">
        <f t="shared" si="25"/>
        <v>#VALUE!</v>
      </c>
      <c r="CS32" s="5">
        <f t="shared" si="26"/>
        <v>5.2219321148825066E-3</v>
      </c>
      <c r="CT32" s="5" t="e">
        <f t="shared" si="27"/>
        <v>#VALUE!</v>
      </c>
      <c r="CU32" s="5">
        <f t="shared" si="28"/>
        <v>5.1679586563307496E-3</v>
      </c>
      <c r="CV32" s="5">
        <f t="shared" si="29"/>
        <v>0</v>
      </c>
      <c r="CW32" s="5">
        <f t="shared" si="30"/>
        <v>4.7619047619047623E-3</v>
      </c>
      <c r="CX32" s="5">
        <f t="shared" si="31"/>
        <v>2.3474178403755869E-3</v>
      </c>
      <c r="CZ32" s="447" t="s">
        <v>623</v>
      </c>
      <c r="DA32" s="447" t="s">
        <v>624</v>
      </c>
      <c r="DB32" s="18" t="e">
        <f t="shared" si="32"/>
        <v>#VALUE!</v>
      </c>
      <c r="DC32" s="18" t="e">
        <f t="shared" si="33"/>
        <v>#DIV/0!</v>
      </c>
      <c r="DD32" s="18" t="e">
        <f t="shared" si="34"/>
        <v>#VALUE!</v>
      </c>
      <c r="DE32" s="18">
        <f t="shared" si="35"/>
        <v>0</v>
      </c>
      <c r="DF32" s="18" t="e">
        <f t="shared" si="36"/>
        <v>#VALUE!</v>
      </c>
      <c r="DG32" s="18">
        <f t="shared" si="37"/>
        <v>0</v>
      </c>
      <c r="DH32" s="18" t="e">
        <f t="shared" si="38"/>
        <v>#DIV/0!</v>
      </c>
      <c r="DI32" s="18">
        <f t="shared" si="39"/>
        <v>0</v>
      </c>
      <c r="DJ32" s="18">
        <f t="shared" si="40"/>
        <v>0</v>
      </c>
    </row>
    <row r="33" spans="1:114">
      <c r="A33" s="371" t="s">
        <v>625</v>
      </c>
      <c r="B33" s="371" t="s">
        <v>626</v>
      </c>
      <c r="C33" s="362">
        <v>8</v>
      </c>
      <c r="D33" s="362">
        <v>3</v>
      </c>
      <c r="E33" s="362" t="s">
        <v>611</v>
      </c>
      <c r="F33" s="362" t="s">
        <v>611</v>
      </c>
      <c r="G33" s="362">
        <v>5</v>
      </c>
      <c r="H33" s="362" t="s">
        <v>611</v>
      </c>
      <c r="I33" s="372" t="e">
        <f t="shared" si="0"/>
        <v>#VALUE!</v>
      </c>
      <c r="J33" s="362">
        <v>1</v>
      </c>
      <c r="K33" s="362">
        <v>0</v>
      </c>
      <c r="L33" s="362" t="s">
        <v>611</v>
      </c>
      <c r="M33" s="372" t="e">
        <f t="shared" si="1"/>
        <v>#VALUE!</v>
      </c>
      <c r="N33" s="262"/>
      <c r="P33" s="258" t="s">
        <v>625</v>
      </c>
      <c r="Q33" s="258" t="s">
        <v>626</v>
      </c>
      <c r="R33" s="125" t="s">
        <v>611</v>
      </c>
      <c r="S33" s="125">
        <v>0</v>
      </c>
      <c r="T33" s="125" t="s">
        <v>611</v>
      </c>
      <c r="U33" s="125">
        <v>0</v>
      </c>
      <c r="V33" s="125">
        <v>0</v>
      </c>
      <c r="W33" s="125">
        <v>0</v>
      </c>
      <c r="X33" s="125">
        <v>0</v>
      </c>
      <c r="Y33" s="125" t="s">
        <v>611</v>
      </c>
      <c r="Z33" s="125"/>
      <c r="AB33" s="258" t="s">
        <v>625</v>
      </c>
      <c r="AC33" s="258" t="s">
        <v>626</v>
      </c>
      <c r="AD33" s="125">
        <v>8</v>
      </c>
      <c r="AE33" s="125">
        <v>3</v>
      </c>
      <c r="AF33" s="125" t="s">
        <v>611</v>
      </c>
      <c r="AG33" s="125" t="s">
        <v>611</v>
      </c>
      <c r="AH33" s="125">
        <v>5</v>
      </c>
      <c r="AI33" s="125" t="s">
        <v>611</v>
      </c>
      <c r="AJ33" s="125">
        <v>1</v>
      </c>
      <c r="AK33" s="125">
        <v>0</v>
      </c>
      <c r="AL33" s="125" t="s">
        <v>611</v>
      </c>
      <c r="AO33" s="258" t="s">
        <v>625</v>
      </c>
      <c r="AP33" s="258" t="s">
        <v>626</v>
      </c>
      <c r="AQ33" s="125">
        <v>8</v>
      </c>
      <c r="AR33" s="125">
        <v>3</v>
      </c>
      <c r="AS33" s="125" t="s">
        <v>611</v>
      </c>
      <c r="AT33" s="125" t="s">
        <v>611</v>
      </c>
      <c r="AU33" s="125">
        <v>5</v>
      </c>
      <c r="AV33" s="125" t="s">
        <v>611</v>
      </c>
      <c r="AW33" s="125">
        <v>1</v>
      </c>
      <c r="AX33" s="125">
        <v>0</v>
      </c>
      <c r="AY33" s="125" t="s">
        <v>611</v>
      </c>
      <c r="BB33" s="258" t="s">
        <v>625</v>
      </c>
      <c r="BC33" s="258" t="s">
        <v>626</v>
      </c>
      <c r="BD33" s="125">
        <v>0</v>
      </c>
      <c r="BE33" s="125">
        <v>0</v>
      </c>
      <c r="BF33" s="125">
        <v>0</v>
      </c>
      <c r="BG33" s="125">
        <v>0</v>
      </c>
      <c r="BH33" s="125">
        <v>0</v>
      </c>
      <c r="BI33" s="125">
        <v>0</v>
      </c>
      <c r="BJ33" s="125">
        <v>0</v>
      </c>
      <c r="BK33" s="261"/>
      <c r="BL33" s="261"/>
      <c r="BM33" s="258" t="s">
        <v>625</v>
      </c>
      <c r="BN33" s="258" t="s">
        <v>626</v>
      </c>
      <c r="BO33" s="261" t="e">
        <f t="shared" si="3"/>
        <v>#VALUE!</v>
      </c>
      <c r="BP33" s="261">
        <f t="shared" si="4"/>
        <v>3</v>
      </c>
      <c r="BQ33" s="261" t="e">
        <f t="shared" si="5"/>
        <v>#VALUE!</v>
      </c>
      <c r="BR33" s="261" t="e">
        <f t="shared" si="6"/>
        <v>#VALUE!</v>
      </c>
      <c r="BS33" s="261">
        <f t="shared" si="7"/>
        <v>5</v>
      </c>
      <c r="BT33" s="261" t="e">
        <f t="shared" si="8"/>
        <v>#VALUE!</v>
      </c>
      <c r="BU33" s="261">
        <f t="shared" si="9"/>
        <v>1</v>
      </c>
      <c r="BV33" s="261">
        <f t="shared" si="10"/>
        <v>0</v>
      </c>
      <c r="BW33" s="125">
        <f t="shared" si="11"/>
        <v>0</v>
      </c>
      <c r="BZ33" s="258" t="s">
        <v>625</v>
      </c>
      <c r="CA33" s="258" t="s">
        <v>626</v>
      </c>
      <c r="CB33" s="261" t="e">
        <f t="shared" si="12"/>
        <v>#VALUE!</v>
      </c>
      <c r="CC33" s="409">
        <f t="shared" si="13"/>
        <v>3</v>
      </c>
      <c r="CD33" s="409" t="e">
        <f t="shared" si="14"/>
        <v>#VALUE!</v>
      </c>
      <c r="CE33" s="409" t="e">
        <f t="shared" si="15"/>
        <v>#VALUE!</v>
      </c>
      <c r="CF33" s="409">
        <f t="shared" si="16"/>
        <v>5</v>
      </c>
      <c r="CG33" s="409" t="e">
        <f t="shared" si="17"/>
        <v>#VALUE!</v>
      </c>
      <c r="CH33" s="409">
        <f t="shared" si="18"/>
        <v>1</v>
      </c>
      <c r="CI33" s="409">
        <f t="shared" si="19"/>
        <v>0</v>
      </c>
      <c r="CJ33" s="409">
        <f t="shared" si="20"/>
        <v>0</v>
      </c>
      <c r="CK33" s="372">
        <f t="shared" si="21"/>
        <v>0</v>
      </c>
      <c r="CM33" s="258" t="s">
        <v>625</v>
      </c>
      <c r="CN33" s="258" t="s">
        <v>626</v>
      </c>
      <c r="CO33" s="5" t="e">
        <f t="shared" si="22"/>
        <v>#VALUE!</v>
      </c>
      <c r="CP33" s="5">
        <f t="shared" si="23"/>
        <v>2.6408450704225352E-3</v>
      </c>
      <c r="CQ33" s="5" t="e">
        <f t="shared" si="24"/>
        <v>#VALUE!</v>
      </c>
      <c r="CR33" s="5" t="e">
        <f t="shared" si="25"/>
        <v>#VALUE!</v>
      </c>
      <c r="CS33" s="5">
        <f t="shared" si="26"/>
        <v>1.450536698578474E-3</v>
      </c>
      <c r="CT33" s="5" t="e">
        <f t="shared" si="27"/>
        <v>#VALUE!</v>
      </c>
      <c r="CU33" s="5">
        <f t="shared" si="28"/>
        <v>2.5839793281653748E-3</v>
      </c>
      <c r="CV33" s="5">
        <f t="shared" si="29"/>
        <v>0</v>
      </c>
      <c r="CW33" s="5">
        <f t="shared" si="30"/>
        <v>2.3809523809523812E-3</v>
      </c>
      <c r="CX33" s="5">
        <f t="shared" si="31"/>
        <v>0</v>
      </c>
      <c r="CZ33" s="447" t="s">
        <v>625</v>
      </c>
      <c r="DA33" s="447" t="s">
        <v>626</v>
      </c>
      <c r="DB33" s="18" t="e">
        <f t="shared" si="32"/>
        <v>#VALUE!</v>
      </c>
      <c r="DC33" s="18" t="e">
        <f t="shared" si="33"/>
        <v>#VALUE!</v>
      </c>
      <c r="DD33" s="18" t="e">
        <f t="shared" si="34"/>
        <v>#VALUE!</v>
      </c>
      <c r="DE33" s="18">
        <f t="shared" si="35"/>
        <v>0</v>
      </c>
      <c r="DF33" s="18" t="e">
        <f t="shared" si="36"/>
        <v>#VALUE!</v>
      </c>
      <c r="DG33" s="18">
        <f t="shared" si="37"/>
        <v>0</v>
      </c>
      <c r="DH33" s="18" t="e">
        <f t="shared" si="38"/>
        <v>#DIV/0!</v>
      </c>
      <c r="DI33" s="18">
        <f t="shared" si="39"/>
        <v>0</v>
      </c>
      <c r="DJ33" s="18" t="e">
        <f t="shared" si="40"/>
        <v>#DIV/0!</v>
      </c>
    </row>
    <row r="34" spans="1:114">
      <c r="A34" s="371" t="s">
        <v>627</v>
      </c>
      <c r="B34" s="371" t="s">
        <v>628</v>
      </c>
      <c r="C34" s="362">
        <v>70</v>
      </c>
      <c r="D34" s="362">
        <v>35</v>
      </c>
      <c r="E34" s="362" t="s">
        <v>611</v>
      </c>
      <c r="F34" s="362" t="s">
        <v>611</v>
      </c>
      <c r="G34" s="362">
        <v>22</v>
      </c>
      <c r="H34" s="362" t="s">
        <v>611</v>
      </c>
      <c r="I34" s="372" t="e">
        <f t="shared" si="0"/>
        <v>#VALUE!</v>
      </c>
      <c r="J34" s="362">
        <v>6</v>
      </c>
      <c r="K34" s="362">
        <v>0</v>
      </c>
      <c r="L34" s="362">
        <v>7</v>
      </c>
      <c r="M34" s="372" t="e">
        <f t="shared" si="1"/>
        <v>#VALUE!</v>
      </c>
      <c r="N34" s="262"/>
      <c r="P34" s="258" t="s">
        <v>627</v>
      </c>
      <c r="Q34" s="258" t="s">
        <v>628</v>
      </c>
      <c r="R34" s="125" t="s">
        <v>611</v>
      </c>
      <c r="S34" s="125">
        <v>0</v>
      </c>
      <c r="T34" s="125">
        <v>0</v>
      </c>
      <c r="U34" s="125" t="s">
        <v>611</v>
      </c>
      <c r="V34" s="125" t="s">
        <v>611</v>
      </c>
      <c r="W34" s="125">
        <v>0</v>
      </c>
      <c r="X34" s="125">
        <v>0</v>
      </c>
      <c r="Y34" s="125" t="s">
        <v>611</v>
      </c>
      <c r="Z34" s="125"/>
      <c r="AB34" s="258" t="s">
        <v>627</v>
      </c>
      <c r="AC34" s="258" t="s">
        <v>628</v>
      </c>
      <c r="AD34" s="125">
        <v>70</v>
      </c>
      <c r="AE34" s="125">
        <v>35</v>
      </c>
      <c r="AF34" s="125" t="s">
        <v>611</v>
      </c>
      <c r="AG34" s="125" t="s">
        <v>611</v>
      </c>
      <c r="AH34" s="125">
        <v>22</v>
      </c>
      <c r="AI34" s="125" t="s">
        <v>611</v>
      </c>
      <c r="AJ34" s="125">
        <v>6</v>
      </c>
      <c r="AK34" s="125">
        <v>0</v>
      </c>
      <c r="AL34" s="125">
        <v>7</v>
      </c>
      <c r="AO34" s="258" t="s">
        <v>627</v>
      </c>
      <c r="AP34" s="258" t="s">
        <v>628</v>
      </c>
      <c r="AQ34" s="125">
        <v>71</v>
      </c>
      <c r="AR34" s="125">
        <v>36</v>
      </c>
      <c r="AS34" s="125" t="s">
        <v>611</v>
      </c>
      <c r="AT34" s="125" t="s">
        <v>611</v>
      </c>
      <c r="AU34" s="125">
        <v>22</v>
      </c>
      <c r="AV34" s="125" t="s">
        <v>611</v>
      </c>
      <c r="AW34" s="125">
        <v>6</v>
      </c>
      <c r="AX34" s="125">
        <v>0</v>
      </c>
      <c r="AY34" s="125">
        <v>7</v>
      </c>
      <c r="BB34" s="258" t="s">
        <v>627</v>
      </c>
      <c r="BC34" s="258" t="s">
        <v>628</v>
      </c>
      <c r="BD34" s="125" t="s">
        <v>611</v>
      </c>
      <c r="BE34" s="125">
        <v>0</v>
      </c>
      <c r="BF34" s="125">
        <v>0</v>
      </c>
      <c r="BG34" s="125">
        <v>0</v>
      </c>
      <c r="BH34" s="125">
        <v>0</v>
      </c>
      <c r="BI34" s="125">
        <v>0</v>
      </c>
      <c r="BJ34" s="125" t="s">
        <v>611</v>
      </c>
      <c r="BK34" s="261"/>
      <c r="BL34" s="261"/>
      <c r="BM34" s="258" t="s">
        <v>627</v>
      </c>
      <c r="BN34" s="258" t="s">
        <v>628</v>
      </c>
      <c r="BO34" s="261" t="e">
        <f t="shared" si="3"/>
        <v>#VALUE!</v>
      </c>
      <c r="BP34" s="261">
        <f t="shared" si="4"/>
        <v>35</v>
      </c>
      <c r="BQ34" s="261" t="e">
        <f t="shared" si="5"/>
        <v>#VALUE!</v>
      </c>
      <c r="BR34" s="261" t="e">
        <f t="shared" si="6"/>
        <v>#VALUE!</v>
      </c>
      <c r="BS34" s="261" t="e">
        <f t="shared" si="7"/>
        <v>#VALUE!</v>
      </c>
      <c r="BT34" s="261" t="e">
        <f t="shared" si="8"/>
        <v>#VALUE!</v>
      </c>
      <c r="BU34" s="261">
        <f t="shared" si="9"/>
        <v>6</v>
      </c>
      <c r="BV34" s="261">
        <f t="shared" si="10"/>
        <v>0</v>
      </c>
      <c r="BW34" s="125">
        <f t="shared" si="11"/>
        <v>0</v>
      </c>
      <c r="BZ34" s="258" t="s">
        <v>627</v>
      </c>
      <c r="CA34" s="258" t="s">
        <v>628</v>
      </c>
      <c r="CB34" s="261" t="e">
        <f t="shared" si="12"/>
        <v>#VALUE!</v>
      </c>
      <c r="CC34" s="409">
        <f t="shared" si="13"/>
        <v>35</v>
      </c>
      <c r="CD34" s="409" t="e">
        <f t="shared" si="14"/>
        <v>#VALUE!</v>
      </c>
      <c r="CE34" s="409" t="e">
        <f t="shared" si="15"/>
        <v>#VALUE!</v>
      </c>
      <c r="CF34" s="409" t="e">
        <f t="shared" si="16"/>
        <v>#VALUE!</v>
      </c>
      <c r="CG34" s="409" t="e">
        <f t="shared" si="17"/>
        <v>#VALUE!</v>
      </c>
      <c r="CH34" s="409">
        <f t="shared" si="18"/>
        <v>6</v>
      </c>
      <c r="CI34" s="409">
        <f t="shared" si="19"/>
        <v>0</v>
      </c>
      <c r="CJ34" s="409">
        <f t="shared" si="20"/>
        <v>0</v>
      </c>
      <c r="CK34" s="372">
        <f t="shared" si="21"/>
        <v>0</v>
      </c>
      <c r="CM34" s="258" t="s">
        <v>627</v>
      </c>
      <c r="CN34" s="258" t="s">
        <v>628</v>
      </c>
      <c r="CO34" s="5" t="e">
        <f t="shared" si="22"/>
        <v>#VALUE!</v>
      </c>
      <c r="CP34" s="5">
        <f t="shared" si="23"/>
        <v>3.0809859154929578E-2</v>
      </c>
      <c r="CQ34" s="5" t="e">
        <f t="shared" si="24"/>
        <v>#VALUE!</v>
      </c>
      <c r="CR34" s="5" t="e">
        <f t="shared" si="25"/>
        <v>#VALUE!</v>
      </c>
      <c r="CS34" s="5" t="e">
        <f t="shared" si="26"/>
        <v>#VALUE!</v>
      </c>
      <c r="CT34" s="5" t="e">
        <f t="shared" si="27"/>
        <v>#VALUE!</v>
      </c>
      <c r="CU34" s="5">
        <f t="shared" si="28"/>
        <v>1.5503875968992248E-2</v>
      </c>
      <c r="CV34" s="5">
        <f t="shared" si="29"/>
        <v>0</v>
      </c>
      <c r="CW34" s="5">
        <f t="shared" si="30"/>
        <v>1.4285714285714285E-2</v>
      </c>
      <c r="CX34" s="5">
        <f t="shared" si="31"/>
        <v>0</v>
      </c>
      <c r="CZ34" s="447" t="s">
        <v>627</v>
      </c>
      <c r="DA34" s="447" t="s">
        <v>628</v>
      </c>
      <c r="DB34" s="18" t="e">
        <f t="shared" si="32"/>
        <v>#VALUE!</v>
      </c>
      <c r="DC34" s="18" t="e">
        <f t="shared" si="33"/>
        <v>#VALUE!</v>
      </c>
      <c r="DD34" s="18" t="e">
        <f t="shared" si="34"/>
        <v>#VALUE!</v>
      </c>
      <c r="DE34" s="18" t="e">
        <f t="shared" si="35"/>
        <v>#VALUE!</v>
      </c>
      <c r="DF34" s="18" t="e">
        <f t="shared" si="36"/>
        <v>#VALUE!</v>
      </c>
      <c r="DG34" s="18">
        <f t="shared" si="37"/>
        <v>0</v>
      </c>
      <c r="DH34" s="18" t="e">
        <f t="shared" si="38"/>
        <v>#DIV/0!</v>
      </c>
      <c r="DI34" s="18">
        <f t="shared" si="39"/>
        <v>0</v>
      </c>
      <c r="DJ34" s="18" t="e">
        <f t="shared" si="40"/>
        <v>#DIV/0!</v>
      </c>
    </row>
    <row r="35" spans="1:114" ht="24">
      <c r="A35" s="371" t="s">
        <v>629</v>
      </c>
      <c r="B35" s="371" t="s">
        <v>630</v>
      </c>
      <c r="C35" s="362">
        <v>20</v>
      </c>
      <c r="D35" s="362">
        <v>7</v>
      </c>
      <c r="E35" s="362" t="s">
        <v>611</v>
      </c>
      <c r="F35" s="362" t="s">
        <v>611</v>
      </c>
      <c r="G35" s="362">
        <v>11</v>
      </c>
      <c r="H35" s="362" t="s">
        <v>631</v>
      </c>
      <c r="I35" s="372" t="e">
        <f t="shared" si="0"/>
        <v>#VALUE!</v>
      </c>
      <c r="J35" s="362">
        <v>1</v>
      </c>
      <c r="K35" s="362">
        <v>0</v>
      </c>
      <c r="L35" s="362" t="s">
        <v>611</v>
      </c>
      <c r="M35" s="372" t="e">
        <f t="shared" si="1"/>
        <v>#VALUE!</v>
      </c>
      <c r="N35" s="262"/>
      <c r="P35" s="258" t="s">
        <v>629</v>
      </c>
      <c r="Q35" s="258" t="s">
        <v>630</v>
      </c>
      <c r="R35" s="125" t="s">
        <v>611</v>
      </c>
      <c r="S35" s="125">
        <v>0</v>
      </c>
      <c r="T35" s="125">
        <v>0</v>
      </c>
      <c r="U35" s="125" t="s">
        <v>611</v>
      </c>
      <c r="V35" s="125">
        <v>0</v>
      </c>
      <c r="W35" s="125">
        <v>0</v>
      </c>
      <c r="X35" s="125">
        <v>0</v>
      </c>
      <c r="Y35" s="125" t="s">
        <v>611</v>
      </c>
      <c r="Z35" s="125"/>
      <c r="AB35" s="258" t="s">
        <v>629</v>
      </c>
      <c r="AC35" s="258" t="s">
        <v>630</v>
      </c>
      <c r="AD35" s="125">
        <v>20</v>
      </c>
      <c r="AE35" s="125">
        <v>7</v>
      </c>
      <c r="AF35" s="125" t="s">
        <v>611</v>
      </c>
      <c r="AG35" s="125" t="s">
        <v>611</v>
      </c>
      <c r="AH35" s="125">
        <v>11</v>
      </c>
      <c r="AI35" s="125" t="s">
        <v>631</v>
      </c>
      <c r="AJ35" s="125">
        <v>1</v>
      </c>
      <c r="AK35" s="125">
        <v>0</v>
      </c>
      <c r="AL35" s="125" t="s">
        <v>611</v>
      </c>
      <c r="AO35" s="258" t="s">
        <v>629</v>
      </c>
      <c r="AP35" s="258" t="s">
        <v>630</v>
      </c>
      <c r="AQ35" s="125">
        <v>20</v>
      </c>
      <c r="AR35" s="125">
        <v>7</v>
      </c>
      <c r="AS35" s="125" t="s">
        <v>611</v>
      </c>
      <c r="AT35" s="125" t="s">
        <v>611</v>
      </c>
      <c r="AU35" s="125">
        <v>11</v>
      </c>
      <c r="AV35" s="125" t="s">
        <v>631</v>
      </c>
      <c r="AW35" s="125">
        <v>1</v>
      </c>
      <c r="AX35" s="125">
        <v>0</v>
      </c>
      <c r="AY35" s="125" t="s">
        <v>611</v>
      </c>
      <c r="BB35" s="258" t="s">
        <v>629</v>
      </c>
      <c r="BC35" s="258" t="s">
        <v>630</v>
      </c>
      <c r="BD35" s="125" t="s">
        <v>611</v>
      </c>
      <c r="BE35" s="125">
        <v>0</v>
      </c>
      <c r="BF35" s="125" t="s">
        <v>611</v>
      </c>
      <c r="BG35" s="125">
        <v>0</v>
      </c>
      <c r="BH35" s="125">
        <v>0</v>
      </c>
      <c r="BI35" s="125">
        <v>0</v>
      </c>
      <c r="BJ35" s="125">
        <v>0</v>
      </c>
      <c r="BK35" s="261"/>
      <c r="BL35" s="261"/>
      <c r="BM35" s="258" t="s">
        <v>629</v>
      </c>
      <c r="BN35" s="258" t="s">
        <v>630</v>
      </c>
      <c r="BO35" s="261" t="e">
        <f t="shared" si="3"/>
        <v>#VALUE!</v>
      </c>
      <c r="BP35" s="261">
        <f t="shared" si="4"/>
        <v>7</v>
      </c>
      <c r="BQ35" s="261" t="e">
        <f t="shared" si="5"/>
        <v>#VALUE!</v>
      </c>
      <c r="BR35" s="261" t="e">
        <f t="shared" si="6"/>
        <v>#VALUE!</v>
      </c>
      <c r="BS35" s="261" t="e">
        <f t="shared" si="7"/>
        <v>#VALUE!</v>
      </c>
      <c r="BT35" s="261" t="e">
        <f t="shared" si="8"/>
        <v>#VALUE!</v>
      </c>
      <c r="BU35" s="261">
        <f t="shared" si="9"/>
        <v>1</v>
      </c>
      <c r="BV35" s="261">
        <f t="shared" si="10"/>
        <v>0</v>
      </c>
      <c r="BW35" s="125">
        <f t="shared" si="11"/>
        <v>0</v>
      </c>
      <c r="BZ35" s="258" t="s">
        <v>629</v>
      </c>
      <c r="CA35" s="258" t="s">
        <v>630</v>
      </c>
      <c r="CB35" s="261" t="e">
        <f t="shared" si="12"/>
        <v>#VALUE!</v>
      </c>
      <c r="CC35" s="409">
        <f t="shared" si="13"/>
        <v>7</v>
      </c>
      <c r="CD35" s="409" t="e">
        <f t="shared" si="14"/>
        <v>#VALUE!</v>
      </c>
      <c r="CE35" s="409" t="e">
        <f t="shared" si="15"/>
        <v>#VALUE!</v>
      </c>
      <c r="CF35" s="409" t="e">
        <f t="shared" si="16"/>
        <v>#VALUE!</v>
      </c>
      <c r="CG35" s="409" t="e">
        <f t="shared" si="17"/>
        <v>#VALUE!</v>
      </c>
      <c r="CH35" s="409">
        <f t="shared" si="18"/>
        <v>1</v>
      </c>
      <c r="CI35" s="409">
        <f t="shared" si="19"/>
        <v>0</v>
      </c>
      <c r="CJ35" s="409">
        <f t="shared" si="20"/>
        <v>0</v>
      </c>
      <c r="CK35" s="372">
        <f t="shared" si="21"/>
        <v>0</v>
      </c>
      <c r="CM35" s="258" t="s">
        <v>629</v>
      </c>
      <c r="CN35" s="258" t="s">
        <v>630</v>
      </c>
      <c r="CO35" s="5" t="e">
        <f t="shared" si="22"/>
        <v>#VALUE!</v>
      </c>
      <c r="CP35" s="5">
        <f t="shared" si="23"/>
        <v>6.1619718309859151E-3</v>
      </c>
      <c r="CQ35" s="5" t="e">
        <f t="shared" si="24"/>
        <v>#VALUE!</v>
      </c>
      <c r="CR35" s="5" t="e">
        <f t="shared" si="25"/>
        <v>#VALUE!</v>
      </c>
      <c r="CS35" s="5" t="e">
        <f t="shared" si="26"/>
        <v>#VALUE!</v>
      </c>
      <c r="CT35" s="5" t="e">
        <f t="shared" si="27"/>
        <v>#VALUE!</v>
      </c>
      <c r="CU35" s="5">
        <f t="shared" si="28"/>
        <v>2.5839793281653748E-3</v>
      </c>
      <c r="CV35" s="5">
        <f t="shared" si="29"/>
        <v>0</v>
      </c>
      <c r="CW35" s="5">
        <f t="shared" si="30"/>
        <v>2.3809523809523812E-3</v>
      </c>
      <c r="CX35" s="5">
        <f t="shared" si="31"/>
        <v>0</v>
      </c>
      <c r="CZ35" s="447" t="s">
        <v>629</v>
      </c>
      <c r="DA35" s="447" t="s">
        <v>630</v>
      </c>
      <c r="DB35" s="18" t="e">
        <f t="shared" si="32"/>
        <v>#VALUE!</v>
      </c>
      <c r="DC35" s="18" t="e">
        <f t="shared" si="33"/>
        <v>#VALUE!</v>
      </c>
      <c r="DD35" s="18" t="e">
        <f t="shared" si="34"/>
        <v>#VALUE!</v>
      </c>
      <c r="DE35" s="18" t="e">
        <f t="shared" si="35"/>
        <v>#VALUE!</v>
      </c>
      <c r="DF35" s="18" t="e">
        <f t="shared" si="36"/>
        <v>#VALUE!</v>
      </c>
      <c r="DG35" s="18">
        <f t="shared" si="37"/>
        <v>0</v>
      </c>
      <c r="DH35" s="18" t="e">
        <f t="shared" si="38"/>
        <v>#DIV/0!</v>
      </c>
      <c r="DI35" s="18">
        <f t="shared" si="39"/>
        <v>0</v>
      </c>
      <c r="DJ35" s="18" t="e">
        <f t="shared" si="40"/>
        <v>#DIV/0!</v>
      </c>
    </row>
    <row r="36" spans="1:114">
      <c r="A36" s="371" t="s">
        <v>632</v>
      </c>
      <c r="B36" s="371" t="s">
        <v>633</v>
      </c>
      <c r="C36" s="362">
        <v>4</v>
      </c>
      <c r="D36" s="362">
        <v>2</v>
      </c>
      <c r="E36" s="362">
        <v>0</v>
      </c>
      <c r="F36" s="362" t="s">
        <v>611</v>
      </c>
      <c r="G36" s="362">
        <v>2</v>
      </c>
      <c r="H36" s="362" t="s">
        <v>611</v>
      </c>
      <c r="I36" s="372" t="e">
        <f t="shared" si="0"/>
        <v>#VALUE!</v>
      </c>
      <c r="J36" s="362">
        <v>0</v>
      </c>
      <c r="K36" s="362">
        <v>0</v>
      </c>
      <c r="L36" s="362" t="s">
        <v>611</v>
      </c>
      <c r="M36" s="372" t="e">
        <f t="shared" si="1"/>
        <v>#VALUE!</v>
      </c>
      <c r="N36" s="262"/>
      <c r="P36" s="258" t="s">
        <v>632</v>
      </c>
      <c r="Q36" s="258" t="s">
        <v>633</v>
      </c>
      <c r="R36" s="125">
        <v>0</v>
      </c>
      <c r="S36" s="125">
        <v>0</v>
      </c>
      <c r="T36" s="125">
        <v>0</v>
      </c>
      <c r="U36" s="125">
        <v>0</v>
      </c>
      <c r="V36" s="125">
        <v>0</v>
      </c>
      <c r="W36" s="125">
        <v>0</v>
      </c>
      <c r="X36" s="125">
        <v>0</v>
      </c>
      <c r="Y36" s="125">
        <v>0</v>
      </c>
      <c r="Z36" s="125"/>
      <c r="AB36" s="258" t="s">
        <v>632</v>
      </c>
      <c r="AC36" s="258" t="s">
        <v>633</v>
      </c>
      <c r="AD36" s="125">
        <v>4</v>
      </c>
      <c r="AE36" s="125">
        <v>2</v>
      </c>
      <c r="AF36" s="125">
        <v>0</v>
      </c>
      <c r="AG36" s="125" t="s">
        <v>611</v>
      </c>
      <c r="AH36" s="125">
        <v>2</v>
      </c>
      <c r="AI36" s="125" t="s">
        <v>611</v>
      </c>
      <c r="AJ36" s="125">
        <v>0</v>
      </c>
      <c r="AK36" s="125">
        <v>0</v>
      </c>
      <c r="AL36" s="125" t="s">
        <v>611</v>
      </c>
      <c r="AO36" s="258" t="s">
        <v>632</v>
      </c>
      <c r="AP36" s="258" t="s">
        <v>633</v>
      </c>
      <c r="AQ36" s="125">
        <v>4</v>
      </c>
      <c r="AR36" s="125">
        <v>2</v>
      </c>
      <c r="AS36" s="125">
        <v>0</v>
      </c>
      <c r="AT36" s="125" t="s">
        <v>611</v>
      </c>
      <c r="AU36" s="125">
        <v>2</v>
      </c>
      <c r="AV36" s="125" t="s">
        <v>611</v>
      </c>
      <c r="AW36" s="125">
        <v>0</v>
      </c>
      <c r="AX36" s="125">
        <v>0</v>
      </c>
      <c r="AY36" s="125" t="s">
        <v>611</v>
      </c>
      <c r="BB36" s="258" t="s">
        <v>632</v>
      </c>
      <c r="BC36" s="258" t="s">
        <v>633</v>
      </c>
      <c r="BD36" s="125">
        <v>0</v>
      </c>
      <c r="BE36" s="125">
        <v>0</v>
      </c>
      <c r="BF36" s="125">
        <v>0</v>
      </c>
      <c r="BG36" s="125">
        <v>0</v>
      </c>
      <c r="BH36" s="125">
        <v>0</v>
      </c>
      <c r="BI36" s="125">
        <v>0</v>
      </c>
      <c r="BJ36" s="125">
        <v>0</v>
      </c>
      <c r="BK36" s="261"/>
      <c r="BL36" s="261"/>
      <c r="BM36" s="258" t="s">
        <v>632</v>
      </c>
      <c r="BN36" s="258" t="s">
        <v>633</v>
      </c>
      <c r="BO36" s="261" t="e">
        <f t="shared" si="3"/>
        <v>#VALUE!</v>
      </c>
      <c r="BP36" s="261">
        <f t="shared" si="4"/>
        <v>2</v>
      </c>
      <c r="BQ36" s="261">
        <f t="shared" si="5"/>
        <v>0</v>
      </c>
      <c r="BR36" s="261" t="e">
        <f t="shared" si="6"/>
        <v>#VALUE!</v>
      </c>
      <c r="BS36" s="261">
        <f t="shared" si="7"/>
        <v>2</v>
      </c>
      <c r="BT36" s="261" t="e">
        <f t="shared" si="8"/>
        <v>#VALUE!</v>
      </c>
      <c r="BU36" s="261">
        <f t="shared" si="9"/>
        <v>0</v>
      </c>
      <c r="BV36" s="261">
        <f t="shared" si="10"/>
        <v>0</v>
      </c>
      <c r="BW36" s="125">
        <f t="shared" si="11"/>
        <v>0</v>
      </c>
      <c r="BZ36" s="258" t="s">
        <v>632</v>
      </c>
      <c r="CA36" s="258" t="s">
        <v>633</v>
      </c>
      <c r="CB36" s="261" t="e">
        <f t="shared" si="12"/>
        <v>#VALUE!</v>
      </c>
      <c r="CC36" s="409">
        <f t="shared" si="13"/>
        <v>2</v>
      </c>
      <c r="CD36" s="409">
        <f t="shared" si="14"/>
        <v>0</v>
      </c>
      <c r="CE36" s="409" t="e">
        <f t="shared" si="15"/>
        <v>#VALUE!</v>
      </c>
      <c r="CF36" s="409">
        <f t="shared" si="16"/>
        <v>2</v>
      </c>
      <c r="CG36" s="409" t="e">
        <f t="shared" si="17"/>
        <v>#VALUE!</v>
      </c>
      <c r="CH36" s="409">
        <f t="shared" si="18"/>
        <v>0</v>
      </c>
      <c r="CI36" s="409">
        <f t="shared" si="19"/>
        <v>0</v>
      </c>
      <c r="CJ36" s="409">
        <f t="shared" si="20"/>
        <v>0</v>
      </c>
      <c r="CK36" s="372">
        <f t="shared" si="21"/>
        <v>0</v>
      </c>
      <c r="CM36" s="258" t="s">
        <v>632</v>
      </c>
      <c r="CN36" s="258" t="s">
        <v>633</v>
      </c>
      <c r="CO36" s="5" t="e">
        <f t="shared" si="22"/>
        <v>#VALUE!</v>
      </c>
      <c r="CP36" s="5">
        <f t="shared" si="23"/>
        <v>1.7605633802816902E-3</v>
      </c>
      <c r="CQ36" s="5">
        <f t="shared" si="24"/>
        <v>0</v>
      </c>
      <c r="CR36" s="5" t="e">
        <f t="shared" si="25"/>
        <v>#VALUE!</v>
      </c>
      <c r="CS36" s="5">
        <f t="shared" si="26"/>
        <v>5.8021467943138963E-4</v>
      </c>
      <c r="CT36" s="5" t="e">
        <f t="shared" si="27"/>
        <v>#VALUE!</v>
      </c>
      <c r="CU36" s="5">
        <f t="shared" si="28"/>
        <v>0</v>
      </c>
      <c r="CV36" s="5">
        <f t="shared" si="29"/>
        <v>0</v>
      </c>
      <c r="CW36" s="5">
        <f t="shared" si="30"/>
        <v>0</v>
      </c>
      <c r="CX36" s="5">
        <f t="shared" si="31"/>
        <v>0</v>
      </c>
      <c r="CZ36" s="447" t="s">
        <v>632</v>
      </c>
      <c r="DA36" s="447" t="s">
        <v>633</v>
      </c>
      <c r="DB36" s="18" t="e">
        <f t="shared" si="32"/>
        <v>#VALUE!</v>
      </c>
      <c r="DC36" s="18" t="e">
        <f t="shared" si="33"/>
        <v>#DIV/0!</v>
      </c>
      <c r="DD36" s="18" t="e">
        <f t="shared" si="34"/>
        <v>#VALUE!</v>
      </c>
      <c r="DE36" s="18">
        <f t="shared" si="35"/>
        <v>0</v>
      </c>
      <c r="DF36" s="18" t="e">
        <f t="shared" si="36"/>
        <v>#VALUE!</v>
      </c>
      <c r="DG36" s="18" t="e">
        <f t="shared" si="37"/>
        <v>#DIV/0!</v>
      </c>
      <c r="DH36" s="18" t="e">
        <f t="shared" si="38"/>
        <v>#DIV/0!</v>
      </c>
      <c r="DI36" s="18" t="e">
        <f t="shared" si="39"/>
        <v>#DIV/0!</v>
      </c>
      <c r="DJ36" s="18" t="e">
        <f t="shared" si="40"/>
        <v>#DIV/0!</v>
      </c>
    </row>
    <row r="37" spans="1:114" ht="24">
      <c r="A37" s="371" t="s">
        <v>634</v>
      </c>
      <c r="B37" s="371" t="s">
        <v>635</v>
      </c>
      <c r="C37" s="362">
        <v>1</v>
      </c>
      <c r="D37" s="362" t="s">
        <v>611</v>
      </c>
      <c r="E37" s="362" t="s">
        <v>611</v>
      </c>
      <c r="F37" s="362" t="s">
        <v>611</v>
      </c>
      <c r="G37" s="362" t="s">
        <v>611</v>
      </c>
      <c r="H37" s="362" t="s">
        <v>611</v>
      </c>
      <c r="I37" s="372" t="e">
        <f t="shared" si="0"/>
        <v>#VALUE!</v>
      </c>
      <c r="J37" s="362">
        <v>0</v>
      </c>
      <c r="K37" s="362">
        <v>0</v>
      </c>
      <c r="L37" s="362" t="s">
        <v>611</v>
      </c>
      <c r="M37" s="372" t="e">
        <f t="shared" si="1"/>
        <v>#VALUE!</v>
      </c>
      <c r="N37" s="262"/>
      <c r="P37" s="258" t="s">
        <v>634</v>
      </c>
      <c r="Q37" s="258" t="s">
        <v>635</v>
      </c>
      <c r="R37" s="125" t="s">
        <v>611</v>
      </c>
      <c r="S37" s="125" t="s">
        <v>611</v>
      </c>
      <c r="T37" s="125">
        <v>0</v>
      </c>
      <c r="U37" s="125">
        <v>0</v>
      </c>
      <c r="V37" s="125" t="s">
        <v>611</v>
      </c>
      <c r="W37" s="125">
        <v>0</v>
      </c>
      <c r="X37" s="125">
        <v>0</v>
      </c>
      <c r="Y37" s="125">
        <v>0</v>
      </c>
      <c r="Z37" s="125"/>
      <c r="AB37" s="258" t="s">
        <v>634</v>
      </c>
      <c r="AC37" s="258" t="s">
        <v>635</v>
      </c>
      <c r="AD37" s="125">
        <v>1</v>
      </c>
      <c r="AE37" s="125" t="s">
        <v>611</v>
      </c>
      <c r="AF37" s="125" t="s">
        <v>611</v>
      </c>
      <c r="AG37" s="125" t="s">
        <v>611</v>
      </c>
      <c r="AH37" s="125" t="s">
        <v>611</v>
      </c>
      <c r="AI37" s="125" t="s">
        <v>611</v>
      </c>
      <c r="AJ37" s="125">
        <v>0</v>
      </c>
      <c r="AK37" s="125">
        <v>0</v>
      </c>
      <c r="AL37" s="125" t="s">
        <v>611</v>
      </c>
      <c r="AO37" s="258" t="s">
        <v>634</v>
      </c>
      <c r="AP37" s="258" t="s">
        <v>635</v>
      </c>
      <c r="AQ37" s="125">
        <v>1</v>
      </c>
      <c r="AR37" s="125" t="s">
        <v>611</v>
      </c>
      <c r="AS37" s="125" t="s">
        <v>611</v>
      </c>
      <c r="AT37" s="125" t="s">
        <v>611</v>
      </c>
      <c r="AU37" s="125" t="s">
        <v>611</v>
      </c>
      <c r="AV37" s="125" t="s">
        <v>611</v>
      </c>
      <c r="AW37" s="125">
        <v>0</v>
      </c>
      <c r="AX37" s="125">
        <v>0</v>
      </c>
      <c r="AY37" s="125" t="s">
        <v>611</v>
      </c>
      <c r="BB37" s="258" t="s">
        <v>634</v>
      </c>
      <c r="BC37" s="258" t="s">
        <v>635</v>
      </c>
      <c r="BD37" s="125">
        <v>0</v>
      </c>
      <c r="BE37" s="125">
        <v>0</v>
      </c>
      <c r="BF37" s="125">
        <v>0</v>
      </c>
      <c r="BG37" s="125">
        <v>0</v>
      </c>
      <c r="BH37" s="125">
        <v>0</v>
      </c>
      <c r="BI37" s="125">
        <v>0</v>
      </c>
      <c r="BJ37" s="125">
        <v>0</v>
      </c>
      <c r="BK37" s="261"/>
      <c r="BL37" s="261"/>
      <c r="BM37" s="258" t="s">
        <v>634</v>
      </c>
      <c r="BN37" s="258" t="s">
        <v>635</v>
      </c>
      <c r="BO37" s="261" t="e">
        <f t="shared" si="3"/>
        <v>#VALUE!</v>
      </c>
      <c r="BP37" s="261" t="str">
        <f t="shared" si="4"/>
        <v>*</v>
      </c>
      <c r="BQ37" s="261" t="e">
        <f t="shared" si="5"/>
        <v>#VALUE!</v>
      </c>
      <c r="BR37" s="261" t="e">
        <f t="shared" si="6"/>
        <v>#VALUE!</v>
      </c>
      <c r="BS37" s="261" t="e">
        <f t="shared" si="7"/>
        <v>#VALUE!</v>
      </c>
      <c r="BT37" s="261" t="e">
        <f t="shared" si="8"/>
        <v>#VALUE!</v>
      </c>
      <c r="BU37" s="261">
        <f t="shared" si="9"/>
        <v>0</v>
      </c>
      <c r="BV37" s="261">
        <f t="shared" si="10"/>
        <v>0</v>
      </c>
      <c r="BW37" s="125">
        <f t="shared" si="11"/>
        <v>0</v>
      </c>
      <c r="BZ37" s="258" t="s">
        <v>634</v>
      </c>
      <c r="CA37" s="258" t="s">
        <v>635</v>
      </c>
      <c r="CB37" s="261" t="e">
        <f t="shared" si="12"/>
        <v>#VALUE!</v>
      </c>
      <c r="CC37" s="409" t="str">
        <f t="shared" si="13"/>
        <v>*</v>
      </c>
      <c r="CD37" s="409" t="e">
        <f t="shared" si="14"/>
        <v>#VALUE!</v>
      </c>
      <c r="CE37" s="409" t="e">
        <f t="shared" si="15"/>
        <v>#VALUE!</v>
      </c>
      <c r="CF37" s="409" t="e">
        <f t="shared" si="16"/>
        <v>#VALUE!</v>
      </c>
      <c r="CG37" s="409" t="e">
        <f t="shared" si="17"/>
        <v>#VALUE!</v>
      </c>
      <c r="CH37" s="409">
        <f t="shared" si="18"/>
        <v>0</v>
      </c>
      <c r="CI37" s="409">
        <f t="shared" si="19"/>
        <v>0</v>
      </c>
      <c r="CJ37" s="409">
        <f t="shared" si="20"/>
        <v>0</v>
      </c>
      <c r="CK37" s="372">
        <f t="shared" si="21"/>
        <v>0</v>
      </c>
      <c r="CM37" s="258" t="s">
        <v>634</v>
      </c>
      <c r="CN37" s="258" t="s">
        <v>635</v>
      </c>
      <c r="CO37" s="5" t="e">
        <f t="shared" si="22"/>
        <v>#VALUE!</v>
      </c>
      <c r="CP37" s="5" t="e">
        <f t="shared" si="23"/>
        <v>#VALUE!</v>
      </c>
      <c r="CQ37" s="5" t="e">
        <f t="shared" si="24"/>
        <v>#VALUE!</v>
      </c>
      <c r="CR37" s="5" t="e">
        <f t="shared" si="25"/>
        <v>#VALUE!</v>
      </c>
      <c r="CS37" s="5" t="e">
        <f t="shared" si="26"/>
        <v>#VALUE!</v>
      </c>
      <c r="CT37" s="5" t="e">
        <f t="shared" si="27"/>
        <v>#VALUE!</v>
      </c>
      <c r="CU37" s="5">
        <f t="shared" si="28"/>
        <v>0</v>
      </c>
      <c r="CV37" s="5">
        <f t="shared" si="29"/>
        <v>0</v>
      </c>
      <c r="CW37" s="5">
        <f t="shared" si="30"/>
        <v>0</v>
      </c>
      <c r="CX37" s="5">
        <f t="shared" si="31"/>
        <v>0</v>
      </c>
      <c r="CZ37" s="447" t="s">
        <v>634</v>
      </c>
      <c r="DA37" s="447" t="s">
        <v>635</v>
      </c>
      <c r="DB37" s="18" t="e">
        <f t="shared" si="32"/>
        <v>#VALUE!</v>
      </c>
      <c r="DC37" s="18" t="e">
        <f t="shared" si="33"/>
        <v>#VALUE!</v>
      </c>
      <c r="DD37" s="18" t="e">
        <f t="shared" si="34"/>
        <v>#VALUE!</v>
      </c>
      <c r="DE37" s="18" t="e">
        <f t="shared" si="35"/>
        <v>#VALUE!</v>
      </c>
      <c r="DF37" s="18" t="e">
        <f t="shared" si="36"/>
        <v>#VALUE!</v>
      </c>
      <c r="DG37" s="18" t="e">
        <f t="shared" si="37"/>
        <v>#DIV/0!</v>
      </c>
      <c r="DH37" s="18" t="e">
        <f t="shared" si="38"/>
        <v>#DIV/0!</v>
      </c>
      <c r="DI37" s="18" t="e">
        <f t="shared" si="39"/>
        <v>#DIV/0!</v>
      </c>
      <c r="DJ37" s="18" t="e">
        <f t="shared" si="40"/>
        <v>#DIV/0!</v>
      </c>
    </row>
    <row r="38" spans="1:114">
      <c r="A38" s="371" t="s">
        <v>636</v>
      </c>
      <c r="B38" s="371" t="s">
        <v>637</v>
      </c>
      <c r="C38" s="362">
        <v>208</v>
      </c>
      <c r="D38" s="362">
        <v>44</v>
      </c>
      <c r="E38" s="362" t="s">
        <v>611</v>
      </c>
      <c r="F38" s="362">
        <v>6</v>
      </c>
      <c r="G38" s="362">
        <v>22</v>
      </c>
      <c r="H38" s="362">
        <v>1</v>
      </c>
      <c r="I38" s="372" t="e">
        <f t="shared" si="0"/>
        <v>#VALUE!</v>
      </c>
      <c r="J38" s="362">
        <v>0</v>
      </c>
      <c r="K38" s="362">
        <v>0</v>
      </c>
      <c r="L38" s="362">
        <v>135</v>
      </c>
      <c r="M38" s="372" t="e">
        <f t="shared" si="1"/>
        <v>#VALUE!</v>
      </c>
      <c r="N38" s="262"/>
      <c r="P38" s="258" t="s">
        <v>636</v>
      </c>
      <c r="Q38" s="258" t="s">
        <v>637</v>
      </c>
      <c r="R38" s="125">
        <v>1</v>
      </c>
      <c r="S38" s="125" t="s">
        <v>611</v>
      </c>
      <c r="T38" s="125">
        <v>1</v>
      </c>
      <c r="U38" s="125" t="s">
        <v>611</v>
      </c>
      <c r="V38" s="125" t="s">
        <v>611</v>
      </c>
      <c r="W38" s="125">
        <v>0</v>
      </c>
      <c r="X38" s="125">
        <v>0</v>
      </c>
      <c r="Y38" s="125" t="s">
        <v>611</v>
      </c>
      <c r="Z38" s="125"/>
      <c r="AB38" s="258" t="s">
        <v>636</v>
      </c>
      <c r="AC38" s="258" t="s">
        <v>637</v>
      </c>
      <c r="AD38" s="125">
        <v>206</v>
      </c>
      <c r="AE38" s="125">
        <v>44</v>
      </c>
      <c r="AF38" s="125" t="s">
        <v>611</v>
      </c>
      <c r="AG38" s="125">
        <v>5</v>
      </c>
      <c r="AH38" s="125">
        <v>22</v>
      </c>
      <c r="AI38" s="125">
        <v>1</v>
      </c>
      <c r="AJ38" s="125">
        <v>0</v>
      </c>
      <c r="AK38" s="125">
        <v>0</v>
      </c>
      <c r="AL38" s="125">
        <v>135</v>
      </c>
      <c r="AO38" s="258" t="s">
        <v>636</v>
      </c>
      <c r="AP38" s="258" t="s">
        <v>637</v>
      </c>
      <c r="AQ38" s="125">
        <v>95</v>
      </c>
      <c r="AR38" s="125">
        <v>44</v>
      </c>
      <c r="AS38" s="125" t="s">
        <v>611</v>
      </c>
      <c r="AT38" s="125">
        <v>5</v>
      </c>
      <c r="AU38" s="125">
        <v>22</v>
      </c>
      <c r="AV38" s="125">
        <v>1</v>
      </c>
      <c r="AW38" s="125">
        <v>0</v>
      </c>
      <c r="AX38" s="125">
        <v>0</v>
      </c>
      <c r="AY38" s="125">
        <v>24</v>
      </c>
      <c r="BB38" s="258" t="s">
        <v>636</v>
      </c>
      <c r="BC38" s="258" t="s">
        <v>637</v>
      </c>
      <c r="BD38" s="125">
        <v>132</v>
      </c>
      <c r="BE38" s="125">
        <v>0</v>
      </c>
      <c r="BF38" s="125">
        <v>0</v>
      </c>
      <c r="BG38" s="125">
        <v>0</v>
      </c>
      <c r="BH38" s="125">
        <v>0</v>
      </c>
      <c r="BI38" s="125">
        <v>132</v>
      </c>
      <c r="BJ38" s="125" t="s">
        <v>611</v>
      </c>
      <c r="BK38" s="261"/>
      <c r="BL38" s="261"/>
      <c r="BM38" s="258" t="s">
        <v>636</v>
      </c>
      <c r="BN38" s="258" t="s">
        <v>637</v>
      </c>
      <c r="BO38" s="261" t="e">
        <f t="shared" si="3"/>
        <v>#VALUE!</v>
      </c>
      <c r="BP38" s="261">
        <f t="shared" si="4"/>
        <v>44</v>
      </c>
      <c r="BQ38" s="261" t="e">
        <f t="shared" si="5"/>
        <v>#VALUE!</v>
      </c>
      <c r="BR38" s="261">
        <f t="shared" si="6"/>
        <v>6</v>
      </c>
      <c r="BS38" s="261" t="e">
        <f t="shared" si="7"/>
        <v>#VALUE!</v>
      </c>
      <c r="BT38" s="261" t="e">
        <f t="shared" si="8"/>
        <v>#VALUE!</v>
      </c>
      <c r="BU38" s="261">
        <f t="shared" si="9"/>
        <v>0</v>
      </c>
      <c r="BV38" s="261">
        <f t="shared" si="10"/>
        <v>0</v>
      </c>
      <c r="BW38" s="125">
        <f t="shared" si="11"/>
        <v>132</v>
      </c>
      <c r="BZ38" s="258" t="s">
        <v>636</v>
      </c>
      <c r="CA38" s="258" t="s">
        <v>637</v>
      </c>
      <c r="CB38" s="261" t="e">
        <f t="shared" si="12"/>
        <v>#VALUE!</v>
      </c>
      <c r="CC38" s="409">
        <f t="shared" si="13"/>
        <v>44</v>
      </c>
      <c r="CD38" s="409" t="e">
        <f t="shared" si="14"/>
        <v>#VALUE!</v>
      </c>
      <c r="CE38" s="409">
        <f t="shared" si="15"/>
        <v>6</v>
      </c>
      <c r="CF38" s="409" t="e">
        <f t="shared" si="16"/>
        <v>#VALUE!</v>
      </c>
      <c r="CG38" s="409" t="e">
        <f t="shared" si="17"/>
        <v>#VALUE!</v>
      </c>
      <c r="CH38" s="409">
        <f t="shared" si="18"/>
        <v>0</v>
      </c>
      <c r="CI38" s="409">
        <f t="shared" si="19"/>
        <v>0</v>
      </c>
      <c r="CJ38" s="409">
        <f t="shared" si="20"/>
        <v>132</v>
      </c>
      <c r="CK38" s="372">
        <f t="shared" si="21"/>
        <v>0</v>
      </c>
      <c r="CM38" s="258" t="s">
        <v>636</v>
      </c>
      <c r="CN38" s="258" t="s">
        <v>637</v>
      </c>
      <c r="CO38" s="5" t="e">
        <f t="shared" si="22"/>
        <v>#VALUE!</v>
      </c>
      <c r="CP38" s="5">
        <f t="shared" si="23"/>
        <v>3.873239436619718E-2</v>
      </c>
      <c r="CQ38" s="5" t="e">
        <f t="shared" si="24"/>
        <v>#VALUE!</v>
      </c>
      <c r="CR38" s="5">
        <f t="shared" si="25"/>
        <v>1.0084033613445379E-2</v>
      </c>
      <c r="CS38" s="5" t="e">
        <f t="shared" si="26"/>
        <v>#VALUE!</v>
      </c>
      <c r="CT38" s="5" t="e">
        <f t="shared" si="27"/>
        <v>#VALUE!</v>
      </c>
      <c r="CU38" s="5">
        <f t="shared" si="28"/>
        <v>0</v>
      </c>
      <c r="CV38" s="5">
        <f t="shared" si="29"/>
        <v>0</v>
      </c>
      <c r="CW38" s="5">
        <f t="shared" si="30"/>
        <v>0</v>
      </c>
      <c r="CX38" s="5">
        <f t="shared" si="31"/>
        <v>0.30985915492957744</v>
      </c>
      <c r="CZ38" s="447" t="s">
        <v>636</v>
      </c>
      <c r="DA38" s="447" t="s">
        <v>637</v>
      </c>
      <c r="DB38" s="18" t="e">
        <f t="shared" si="32"/>
        <v>#VALUE!</v>
      </c>
      <c r="DC38" s="18" t="e">
        <f t="shared" si="33"/>
        <v>#VALUE!</v>
      </c>
      <c r="DD38" s="18">
        <f t="shared" si="34"/>
        <v>0.16666666666666666</v>
      </c>
      <c r="DE38" s="18" t="e">
        <f t="shared" si="35"/>
        <v>#VALUE!</v>
      </c>
      <c r="DF38" s="18" t="e">
        <f t="shared" si="36"/>
        <v>#VALUE!</v>
      </c>
      <c r="DG38" s="18" t="e">
        <f t="shared" si="37"/>
        <v>#DIV/0!</v>
      </c>
      <c r="DH38" s="18" t="e">
        <f t="shared" si="38"/>
        <v>#DIV/0!</v>
      </c>
      <c r="DI38" s="18" t="e">
        <f t="shared" si="39"/>
        <v>#DIV/0!</v>
      </c>
      <c r="DJ38" s="18">
        <f t="shared" si="40"/>
        <v>0</v>
      </c>
    </row>
    <row r="39" spans="1:114">
      <c r="A39" s="371" t="s">
        <v>638</v>
      </c>
      <c r="B39" s="371" t="s">
        <v>639</v>
      </c>
      <c r="C39" s="362">
        <v>67</v>
      </c>
      <c r="D39" s="362">
        <v>10</v>
      </c>
      <c r="E39" s="362">
        <v>0</v>
      </c>
      <c r="F39" s="362">
        <v>3</v>
      </c>
      <c r="G39" s="362">
        <v>1</v>
      </c>
      <c r="H39" s="362" t="s">
        <v>611</v>
      </c>
      <c r="I39" s="372" t="e">
        <f t="shared" si="0"/>
        <v>#VALUE!</v>
      </c>
      <c r="J39" s="362">
        <v>0</v>
      </c>
      <c r="K39" s="362">
        <v>0</v>
      </c>
      <c r="L39" s="362">
        <v>53</v>
      </c>
      <c r="M39" s="372" t="e">
        <f t="shared" si="1"/>
        <v>#VALUE!</v>
      </c>
      <c r="N39" s="262"/>
      <c r="P39" s="258" t="s">
        <v>638</v>
      </c>
      <c r="Q39" s="258" t="s">
        <v>639</v>
      </c>
      <c r="R39" s="125" t="s">
        <v>611</v>
      </c>
      <c r="S39" s="125">
        <v>0</v>
      </c>
      <c r="T39" s="125">
        <v>0</v>
      </c>
      <c r="U39" s="125" t="s">
        <v>611</v>
      </c>
      <c r="V39" s="125">
        <v>0</v>
      </c>
      <c r="W39" s="125">
        <v>0</v>
      </c>
      <c r="X39" s="125">
        <v>0</v>
      </c>
      <c r="Y39" s="125" t="s">
        <v>611</v>
      </c>
      <c r="Z39" s="125"/>
      <c r="AB39" s="258" t="s">
        <v>638</v>
      </c>
      <c r="AC39" s="258" t="s">
        <v>639</v>
      </c>
      <c r="AD39" s="125">
        <v>67</v>
      </c>
      <c r="AE39" s="125">
        <v>10</v>
      </c>
      <c r="AF39" s="125">
        <v>0</v>
      </c>
      <c r="AG39" s="125">
        <v>3</v>
      </c>
      <c r="AH39" s="125">
        <v>1</v>
      </c>
      <c r="AI39" s="125" t="s">
        <v>611</v>
      </c>
      <c r="AJ39" s="125">
        <v>0</v>
      </c>
      <c r="AK39" s="125">
        <v>0</v>
      </c>
      <c r="AL39" s="125">
        <v>53</v>
      </c>
      <c r="AO39" s="258" t="s">
        <v>638</v>
      </c>
      <c r="AP39" s="258" t="s">
        <v>639</v>
      </c>
      <c r="AQ39" s="125">
        <v>19</v>
      </c>
      <c r="AR39" s="125">
        <v>10</v>
      </c>
      <c r="AS39" s="125">
        <v>0</v>
      </c>
      <c r="AT39" s="125">
        <v>3</v>
      </c>
      <c r="AU39" s="125">
        <v>1</v>
      </c>
      <c r="AV39" s="125" t="s">
        <v>611</v>
      </c>
      <c r="AW39" s="125">
        <v>0</v>
      </c>
      <c r="AX39" s="125">
        <v>0</v>
      </c>
      <c r="AY39" s="125">
        <v>5</v>
      </c>
      <c r="BB39" s="258" t="s">
        <v>638</v>
      </c>
      <c r="BC39" s="258" t="s">
        <v>639</v>
      </c>
      <c r="BD39" s="125">
        <v>52</v>
      </c>
      <c r="BE39" s="125">
        <v>0</v>
      </c>
      <c r="BF39" s="125">
        <v>0</v>
      </c>
      <c r="BG39" s="125">
        <v>0</v>
      </c>
      <c r="BH39" s="125">
        <v>0</v>
      </c>
      <c r="BI39" s="125">
        <v>52</v>
      </c>
      <c r="BJ39" s="125" t="s">
        <v>611</v>
      </c>
      <c r="BK39" s="261"/>
      <c r="BL39" s="261"/>
      <c r="BM39" s="258" t="s">
        <v>638</v>
      </c>
      <c r="BN39" s="258" t="s">
        <v>639</v>
      </c>
      <c r="BO39" s="261" t="e">
        <f t="shared" si="3"/>
        <v>#VALUE!</v>
      </c>
      <c r="BP39" s="261">
        <f t="shared" si="4"/>
        <v>10</v>
      </c>
      <c r="BQ39" s="261" t="e">
        <f t="shared" si="5"/>
        <v>#VALUE!</v>
      </c>
      <c r="BR39" s="261">
        <f t="shared" si="6"/>
        <v>3</v>
      </c>
      <c r="BS39" s="261" t="e">
        <f t="shared" si="7"/>
        <v>#VALUE!</v>
      </c>
      <c r="BT39" s="261" t="e">
        <f t="shared" si="8"/>
        <v>#VALUE!</v>
      </c>
      <c r="BU39" s="261">
        <f t="shared" si="9"/>
        <v>0</v>
      </c>
      <c r="BV39" s="261">
        <f t="shared" si="10"/>
        <v>0</v>
      </c>
      <c r="BW39" s="125">
        <f t="shared" si="11"/>
        <v>52</v>
      </c>
      <c r="BX39" s="5"/>
      <c r="BZ39" s="258" t="s">
        <v>638</v>
      </c>
      <c r="CA39" s="258" t="s">
        <v>639</v>
      </c>
      <c r="CB39" s="261" t="e">
        <f t="shared" si="12"/>
        <v>#VALUE!</v>
      </c>
      <c r="CC39" s="409">
        <f t="shared" si="13"/>
        <v>10</v>
      </c>
      <c r="CD39" s="409">
        <f t="shared" si="14"/>
        <v>0</v>
      </c>
      <c r="CE39" s="409">
        <f t="shared" si="15"/>
        <v>3</v>
      </c>
      <c r="CF39" s="409" t="e">
        <f t="shared" si="16"/>
        <v>#VALUE!</v>
      </c>
      <c r="CG39" s="409" t="e">
        <f t="shared" si="17"/>
        <v>#VALUE!</v>
      </c>
      <c r="CH39" s="409">
        <f t="shared" si="18"/>
        <v>0</v>
      </c>
      <c r="CI39" s="409">
        <f t="shared" si="19"/>
        <v>0</v>
      </c>
      <c r="CJ39" s="409">
        <f t="shared" si="20"/>
        <v>52</v>
      </c>
      <c r="CK39" s="372">
        <f t="shared" si="21"/>
        <v>0</v>
      </c>
      <c r="CM39" s="258" t="s">
        <v>638</v>
      </c>
      <c r="CN39" s="258" t="s">
        <v>639</v>
      </c>
      <c r="CO39" s="5" t="e">
        <f t="shared" si="22"/>
        <v>#VALUE!</v>
      </c>
      <c r="CP39" s="5">
        <f t="shared" si="23"/>
        <v>8.8028169014084511E-3</v>
      </c>
      <c r="CQ39" s="5">
        <f t="shared" si="24"/>
        <v>0</v>
      </c>
      <c r="CR39" s="5">
        <f t="shared" si="25"/>
        <v>5.0420168067226894E-3</v>
      </c>
      <c r="CS39" s="5" t="e">
        <f t="shared" si="26"/>
        <v>#VALUE!</v>
      </c>
      <c r="CT39" s="5" t="e">
        <f t="shared" si="27"/>
        <v>#VALUE!</v>
      </c>
      <c r="CU39" s="5">
        <f t="shared" si="28"/>
        <v>0</v>
      </c>
      <c r="CV39" s="5">
        <f t="shared" si="29"/>
        <v>0</v>
      </c>
      <c r="CW39" s="5">
        <f t="shared" si="30"/>
        <v>0</v>
      </c>
      <c r="CX39" s="5">
        <f t="shared" si="31"/>
        <v>0.12206572769953052</v>
      </c>
      <c r="CZ39" s="447" t="s">
        <v>638</v>
      </c>
      <c r="DA39" s="447" t="s">
        <v>639</v>
      </c>
      <c r="DB39" s="18" t="e">
        <f t="shared" si="32"/>
        <v>#VALUE!</v>
      </c>
      <c r="DC39" s="18" t="e">
        <f t="shared" si="33"/>
        <v>#DIV/0!</v>
      </c>
      <c r="DD39" s="18">
        <f t="shared" si="34"/>
        <v>0</v>
      </c>
      <c r="DE39" s="18" t="e">
        <f t="shared" si="35"/>
        <v>#VALUE!</v>
      </c>
      <c r="DF39" s="18" t="e">
        <f t="shared" si="36"/>
        <v>#VALUE!</v>
      </c>
      <c r="DG39" s="18" t="e">
        <f t="shared" si="37"/>
        <v>#DIV/0!</v>
      </c>
      <c r="DH39" s="18" t="e">
        <f t="shared" si="38"/>
        <v>#DIV/0!</v>
      </c>
      <c r="DI39" s="18" t="e">
        <f t="shared" si="39"/>
        <v>#DIV/0!</v>
      </c>
      <c r="DJ39" s="18">
        <f t="shared" si="40"/>
        <v>0</v>
      </c>
    </row>
    <row r="40" spans="1:114" ht="47.25">
      <c r="A40" s="371" t="s">
        <v>640</v>
      </c>
      <c r="B40" s="371" t="s">
        <v>641</v>
      </c>
      <c r="C40" s="362">
        <v>82</v>
      </c>
      <c r="D40" s="362">
        <v>16</v>
      </c>
      <c r="E40" s="362" t="s">
        <v>611</v>
      </c>
      <c r="F40" s="362">
        <v>1</v>
      </c>
      <c r="G40" s="362">
        <v>17</v>
      </c>
      <c r="H40" s="362">
        <v>1</v>
      </c>
      <c r="I40" s="372" t="e">
        <f t="shared" si="0"/>
        <v>#VALUE!</v>
      </c>
      <c r="J40" s="362">
        <v>0</v>
      </c>
      <c r="K40" s="362">
        <v>0</v>
      </c>
      <c r="L40" s="362">
        <v>47</v>
      </c>
      <c r="M40" s="372" t="e">
        <f t="shared" si="1"/>
        <v>#VALUE!</v>
      </c>
      <c r="N40" s="262"/>
      <c r="P40" s="258" t="s">
        <v>640</v>
      </c>
      <c r="Q40" s="258" t="s">
        <v>641</v>
      </c>
      <c r="R40" s="125" t="s">
        <v>611</v>
      </c>
      <c r="S40" s="125" t="s">
        <v>611</v>
      </c>
      <c r="T40" s="125">
        <v>0</v>
      </c>
      <c r="U40" s="125">
        <v>0</v>
      </c>
      <c r="V40" s="125">
        <v>0</v>
      </c>
      <c r="W40" s="125">
        <v>0</v>
      </c>
      <c r="X40" s="125">
        <v>0</v>
      </c>
      <c r="Y40" s="125" t="s">
        <v>611</v>
      </c>
      <c r="Z40" s="125"/>
      <c r="AB40" s="258" t="s">
        <v>640</v>
      </c>
      <c r="AC40" s="258" t="s">
        <v>641</v>
      </c>
      <c r="AD40" s="125">
        <v>82</v>
      </c>
      <c r="AE40" s="125">
        <v>16</v>
      </c>
      <c r="AF40" s="125">
        <v>0</v>
      </c>
      <c r="AG40" s="125">
        <v>1</v>
      </c>
      <c r="AH40" s="125">
        <v>17</v>
      </c>
      <c r="AI40" s="125">
        <v>1</v>
      </c>
      <c r="AJ40" s="125">
        <v>0</v>
      </c>
      <c r="AK40" s="125">
        <v>0</v>
      </c>
      <c r="AL40" s="125">
        <v>47</v>
      </c>
      <c r="AO40" s="258" t="s">
        <v>640</v>
      </c>
      <c r="AP40" s="258" t="s">
        <v>641</v>
      </c>
      <c r="AQ40" s="125">
        <v>47</v>
      </c>
      <c r="AR40" s="125">
        <v>16</v>
      </c>
      <c r="AS40" s="125">
        <v>0</v>
      </c>
      <c r="AT40" s="125">
        <v>1</v>
      </c>
      <c r="AU40" s="125">
        <v>17</v>
      </c>
      <c r="AV40" s="125">
        <v>1</v>
      </c>
      <c r="AW40" s="125">
        <v>0</v>
      </c>
      <c r="AX40" s="125">
        <v>0</v>
      </c>
      <c r="AY40" s="125">
        <v>12</v>
      </c>
      <c r="BB40" s="258" t="s">
        <v>640</v>
      </c>
      <c r="BC40" s="258" t="s">
        <v>641</v>
      </c>
      <c r="BD40" s="125">
        <v>46</v>
      </c>
      <c r="BE40" s="125">
        <v>0</v>
      </c>
      <c r="BF40" s="125">
        <v>0</v>
      </c>
      <c r="BG40" s="125">
        <v>0</v>
      </c>
      <c r="BH40" s="125">
        <v>0</v>
      </c>
      <c r="BI40" s="125">
        <v>45</v>
      </c>
      <c r="BJ40" s="125" t="s">
        <v>611</v>
      </c>
      <c r="BK40" s="261"/>
      <c r="BL40" s="261"/>
      <c r="BM40" s="258" t="s">
        <v>640</v>
      </c>
      <c r="BN40" s="258" t="s">
        <v>641</v>
      </c>
      <c r="BO40" s="261" t="e">
        <f t="shared" si="3"/>
        <v>#VALUE!</v>
      </c>
      <c r="BP40" s="261">
        <f t="shared" si="4"/>
        <v>16</v>
      </c>
      <c r="BQ40" s="261" t="e">
        <f t="shared" si="5"/>
        <v>#VALUE!</v>
      </c>
      <c r="BR40" s="261">
        <f t="shared" si="6"/>
        <v>1</v>
      </c>
      <c r="BS40" s="261">
        <f t="shared" si="7"/>
        <v>17</v>
      </c>
      <c r="BT40" s="261" t="e">
        <f t="shared" si="8"/>
        <v>#VALUE!</v>
      </c>
      <c r="BU40" s="261">
        <f t="shared" si="9"/>
        <v>0</v>
      </c>
      <c r="BV40" s="261">
        <f t="shared" si="10"/>
        <v>0</v>
      </c>
      <c r="BW40" s="125">
        <f t="shared" si="11"/>
        <v>45</v>
      </c>
      <c r="BX40" s="5"/>
      <c r="BZ40" s="258" t="s">
        <v>640</v>
      </c>
      <c r="CA40" s="258" t="s">
        <v>641</v>
      </c>
      <c r="CB40" s="261" t="e">
        <f t="shared" si="12"/>
        <v>#VALUE!</v>
      </c>
      <c r="CC40" s="409">
        <f t="shared" si="13"/>
        <v>16</v>
      </c>
      <c r="CD40" s="409" t="e">
        <f t="shared" si="14"/>
        <v>#VALUE!</v>
      </c>
      <c r="CE40" s="409">
        <f t="shared" si="15"/>
        <v>1</v>
      </c>
      <c r="CF40" s="409">
        <f t="shared" si="16"/>
        <v>17</v>
      </c>
      <c r="CG40" s="409" t="e">
        <f t="shared" si="17"/>
        <v>#VALUE!</v>
      </c>
      <c r="CH40" s="409">
        <f t="shared" si="18"/>
        <v>0</v>
      </c>
      <c r="CI40" s="409">
        <f t="shared" si="19"/>
        <v>0</v>
      </c>
      <c r="CJ40" s="409">
        <f t="shared" si="20"/>
        <v>45</v>
      </c>
      <c r="CK40" s="372">
        <f t="shared" si="21"/>
        <v>0</v>
      </c>
      <c r="CM40" s="258" t="s">
        <v>640</v>
      </c>
      <c r="CN40" s="258" t="s">
        <v>641</v>
      </c>
      <c r="CO40" s="5" t="e">
        <f t="shared" si="22"/>
        <v>#VALUE!</v>
      </c>
      <c r="CP40" s="5">
        <f t="shared" si="23"/>
        <v>1.4084507042253521E-2</v>
      </c>
      <c r="CQ40" s="5" t="e">
        <f t="shared" si="24"/>
        <v>#VALUE!</v>
      </c>
      <c r="CR40" s="5">
        <f t="shared" si="25"/>
        <v>1.6806722689075631E-3</v>
      </c>
      <c r="CS40" s="5">
        <f t="shared" si="26"/>
        <v>4.9318247751668114E-3</v>
      </c>
      <c r="CT40" s="5" t="e">
        <f t="shared" si="27"/>
        <v>#VALUE!</v>
      </c>
      <c r="CU40" s="5">
        <f t="shared" si="28"/>
        <v>0</v>
      </c>
      <c r="CV40" s="5">
        <f t="shared" si="29"/>
        <v>0</v>
      </c>
      <c r="CW40" s="5">
        <f t="shared" si="30"/>
        <v>0</v>
      </c>
      <c r="CX40" s="5">
        <f t="shared" si="31"/>
        <v>0.10563380281690141</v>
      </c>
      <c r="CZ40" s="447" t="s">
        <v>640</v>
      </c>
      <c r="DA40" s="447" t="s">
        <v>641</v>
      </c>
      <c r="DB40" s="18" t="e">
        <f t="shared" si="32"/>
        <v>#VALUE!</v>
      </c>
      <c r="DC40" s="18" t="e">
        <f t="shared" si="33"/>
        <v>#VALUE!</v>
      </c>
      <c r="DD40" s="18">
        <f t="shared" si="34"/>
        <v>0</v>
      </c>
      <c r="DE40" s="18">
        <f t="shared" si="35"/>
        <v>0</v>
      </c>
      <c r="DF40" s="18" t="e">
        <f t="shared" si="36"/>
        <v>#VALUE!</v>
      </c>
      <c r="DG40" s="18" t="e">
        <f t="shared" si="37"/>
        <v>#DIV/0!</v>
      </c>
      <c r="DH40" s="18" t="e">
        <f t="shared" si="38"/>
        <v>#DIV/0!</v>
      </c>
      <c r="DI40" s="18" t="e">
        <f t="shared" si="39"/>
        <v>#DIV/0!</v>
      </c>
      <c r="DJ40" s="18">
        <f t="shared" si="40"/>
        <v>0</v>
      </c>
    </row>
    <row r="41" spans="1:114" ht="35.65">
      <c r="A41" s="371" t="s">
        <v>642</v>
      </c>
      <c r="B41" s="371" t="s">
        <v>643</v>
      </c>
      <c r="C41" s="362">
        <v>52</v>
      </c>
      <c r="D41" s="362">
        <v>12</v>
      </c>
      <c r="E41" s="362" t="s">
        <v>611</v>
      </c>
      <c r="F41" s="362" t="s">
        <v>611</v>
      </c>
      <c r="G41" s="362">
        <v>14</v>
      </c>
      <c r="H41" s="362" t="s">
        <v>611</v>
      </c>
      <c r="I41" s="372" t="e">
        <f t="shared" si="0"/>
        <v>#VALUE!</v>
      </c>
      <c r="J41" s="362">
        <v>0</v>
      </c>
      <c r="K41" s="362">
        <v>0</v>
      </c>
      <c r="L41" s="362">
        <v>26</v>
      </c>
      <c r="M41" s="372" t="e">
        <f t="shared" si="1"/>
        <v>#VALUE!</v>
      </c>
      <c r="N41" s="262"/>
      <c r="P41" s="258" t="s">
        <v>642</v>
      </c>
      <c r="Q41" s="258" t="s">
        <v>643</v>
      </c>
      <c r="R41" s="125" t="s">
        <v>611</v>
      </c>
      <c r="S41" s="125" t="s">
        <v>611</v>
      </c>
      <c r="T41" s="125">
        <v>0</v>
      </c>
      <c r="U41" s="125">
        <v>0</v>
      </c>
      <c r="V41" s="125">
        <v>0</v>
      </c>
      <c r="W41" s="125">
        <v>0</v>
      </c>
      <c r="X41" s="125">
        <v>0</v>
      </c>
      <c r="Y41" s="125" t="s">
        <v>611</v>
      </c>
      <c r="Z41" s="125"/>
      <c r="AB41" s="258" t="s">
        <v>642</v>
      </c>
      <c r="AC41" s="258" t="s">
        <v>643</v>
      </c>
      <c r="AD41" s="125">
        <v>52</v>
      </c>
      <c r="AE41" s="125">
        <v>12</v>
      </c>
      <c r="AF41" s="125">
        <v>0</v>
      </c>
      <c r="AG41" s="125" t="s">
        <v>611</v>
      </c>
      <c r="AH41" s="125">
        <v>14</v>
      </c>
      <c r="AI41" s="125" t="s">
        <v>611</v>
      </c>
      <c r="AJ41" s="125">
        <v>0</v>
      </c>
      <c r="AK41" s="125">
        <v>0</v>
      </c>
      <c r="AL41" s="125">
        <v>26</v>
      </c>
      <c r="AO41" s="258" t="s">
        <v>642</v>
      </c>
      <c r="AP41" s="258" t="s">
        <v>643</v>
      </c>
      <c r="AQ41" s="125">
        <v>35</v>
      </c>
      <c r="AR41" s="125">
        <v>12</v>
      </c>
      <c r="AS41" s="125">
        <v>0</v>
      </c>
      <c r="AT41" s="125" t="s">
        <v>611</v>
      </c>
      <c r="AU41" s="125">
        <v>14</v>
      </c>
      <c r="AV41" s="125" t="s">
        <v>611</v>
      </c>
      <c r="AW41" s="125">
        <v>0</v>
      </c>
      <c r="AX41" s="125">
        <v>0</v>
      </c>
      <c r="AY41" s="125">
        <v>9</v>
      </c>
      <c r="BB41" s="258" t="s">
        <v>642</v>
      </c>
      <c r="BC41" s="258" t="s">
        <v>643</v>
      </c>
      <c r="BD41" s="125">
        <v>26</v>
      </c>
      <c r="BE41" s="125">
        <v>0</v>
      </c>
      <c r="BF41" s="125">
        <v>0</v>
      </c>
      <c r="BG41" s="125">
        <v>0</v>
      </c>
      <c r="BH41" s="125">
        <v>0</v>
      </c>
      <c r="BI41" s="125">
        <v>26</v>
      </c>
      <c r="BJ41" s="125" t="s">
        <v>611</v>
      </c>
      <c r="BK41" s="261"/>
      <c r="BL41" s="261"/>
      <c r="BM41" s="258" t="s">
        <v>642</v>
      </c>
      <c r="BN41" s="258" t="s">
        <v>643</v>
      </c>
      <c r="BO41" s="261" t="e">
        <f t="shared" si="3"/>
        <v>#VALUE!</v>
      </c>
      <c r="BP41" s="261">
        <f t="shared" si="4"/>
        <v>12</v>
      </c>
      <c r="BQ41" s="261" t="e">
        <f t="shared" si="5"/>
        <v>#VALUE!</v>
      </c>
      <c r="BR41" s="261" t="e">
        <f t="shared" si="6"/>
        <v>#VALUE!</v>
      </c>
      <c r="BS41" s="261">
        <f t="shared" si="7"/>
        <v>14</v>
      </c>
      <c r="BT41" s="261" t="e">
        <f t="shared" si="8"/>
        <v>#VALUE!</v>
      </c>
      <c r="BU41" s="261">
        <f t="shared" si="9"/>
        <v>0</v>
      </c>
      <c r="BV41" s="261">
        <f t="shared" si="10"/>
        <v>0</v>
      </c>
      <c r="BW41" s="125">
        <f t="shared" si="11"/>
        <v>26</v>
      </c>
      <c r="BX41" s="5"/>
      <c r="BZ41" s="258" t="s">
        <v>642</v>
      </c>
      <c r="CA41" s="258" t="s">
        <v>643</v>
      </c>
      <c r="CB41" s="261" t="e">
        <f t="shared" si="12"/>
        <v>#VALUE!</v>
      </c>
      <c r="CC41" s="409">
        <f t="shared" si="13"/>
        <v>12</v>
      </c>
      <c r="CD41" s="409" t="e">
        <f t="shared" si="14"/>
        <v>#VALUE!</v>
      </c>
      <c r="CE41" s="409" t="e">
        <f t="shared" si="15"/>
        <v>#VALUE!</v>
      </c>
      <c r="CF41" s="409">
        <f t="shared" si="16"/>
        <v>14</v>
      </c>
      <c r="CG41" s="409" t="e">
        <f t="shared" si="17"/>
        <v>#VALUE!</v>
      </c>
      <c r="CH41" s="409">
        <f t="shared" si="18"/>
        <v>0</v>
      </c>
      <c r="CI41" s="409">
        <f t="shared" si="19"/>
        <v>0</v>
      </c>
      <c r="CJ41" s="409">
        <f t="shared" si="20"/>
        <v>26</v>
      </c>
      <c r="CK41" s="372">
        <f t="shared" si="21"/>
        <v>0</v>
      </c>
      <c r="CM41" s="258" t="s">
        <v>642</v>
      </c>
      <c r="CN41" s="258" t="s">
        <v>643</v>
      </c>
      <c r="CO41" s="5" t="e">
        <f t="shared" si="22"/>
        <v>#VALUE!</v>
      </c>
      <c r="CP41" s="5">
        <f t="shared" si="23"/>
        <v>1.0563380281690141E-2</v>
      </c>
      <c r="CQ41" s="5" t="e">
        <f t="shared" si="24"/>
        <v>#VALUE!</v>
      </c>
      <c r="CR41" s="5" t="e">
        <f t="shared" si="25"/>
        <v>#VALUE!</v>
      </c>
      <c r="CS41" s="5">
        <f t="shared" si="26"/>
        <v>4.0615027560197275E-3</v>
      </c>
      <c r="CT41" s="5" t="e">
        <f t="shared" si="27"/>
        <v>#VALUE!</v>
      </c>
      <c r="CU41" s="5">
        <f t="shared" si="28"/>
        <v>0</v>
      </c>
      <c r="CV41" s="5">
        <f t="shared" si="29"/>
        <v>0</v>
      </c>
      <c r="CW41" s="5">
        <f t="shared" si="30"/>
        <v>0</v>
      </c>
      <c r="CX41" s="5">
        <f t="shared" si="31"/>
        <v>6.1032863849765258E-2</v>
      </c>
      <c r="CZ41" s="447" t="s">
        <v>642</v>
      </c>
      <c r="DA41" s="447" t="s">
        <v>643</v>
      </c>
      <c r="DB41" s="18" t="e">
        <f t="shared" si="32"/>
        <v>#VALUE!</v>
      </c>
      <c r="DC41" s="18" t="e">
        <f t="shared" si="33"/>
        <v>#VALUE!</v>
      </c>
      <c r="DD41" s="18" t="e">
        <f t="shared" si="34"/>
        <v>#VALUE!</v>
      </c>
      <c r="DE41" s="18">
        <f t="shared" si="35"/>
        <v>0</v>
      </c>
      <c r="DF41" s="18" t="e">
        <f t="shared" si="36"/>
        <v>#VALUE!</v>
      </c>
      <c r="DG41" s="18" t="e">
        <f t="shared" si="37"/>
        <v>#DIV/0!</v>
      </c>
      <c r="DH41" s="18" t="e">
        <f t="shared" si="38"/>
        <v>#DIV/0!</v>
      </c>
      <c r="DI41" s="18" t="e">
        <f t="shared" si="39"/>
        <v>#DIV/0!</v>
      </c>
      <c r="DJ41" s="18">
        <f t="shared" si="40"/>
        <v>0</v>
      </c>
    </row>
    <row r="42" spans="1:114" ht="24">
      <c r="A42" s="371" t="s">
        <v>644</v>
      </c>
      <c r="B42" s="371" t="s">
        <v>645</v>
      </c>
      <c r="C42" s="362" t="s">
        <v>631</v>
      </c>
      <c r="D42" s="362" t="s">
        <v>631</v>
      </c>
      <c r="E42" s="362" t="s">
        <v>611</v>
      </c>
      <c r="F42" s="362" t="s">
        <v>631</v>
      </c>
      <c r="G42" s="362">
        <v>3</v>
      </c>
      <c r="H42" s="362">
        <v>1</v>
      </c>
      <c r="I42" s="372" t="e">
        <f t="shared" si="0"/>
        <v>#VALUE!</v>
      </c>
      <c r="J42" s="362">
        <v>0</v>
      </c>
      <c r="K42" s="362">
        <v>0</v>
      </c>
      <c r="L42" s="362" t="s">
        <v>631</v>
      </c>
      <c r="M42" s="372" t="e">
        <f t="shared" si="1"/>
        <v>#VALUE!</v>
      </c>
      <c r="N42" s="262"/>
      <c r="P42" s="258" t="s">
        <v>644</v>
      </c>
      <c r="Q42" s="258" t="s">
        <v>645</v>
      </c>
      <c r="R42" s="125" t="s">
        <v>611</v>
      </c>
      <c r="S42" s="125">
        <v>0</v>
      </c>
      <c r="T42" s="125" t="s">
        <v>611</v>
      </c>
      <c r="U42" s="125">
        <v>0</v>
      </c>
      <c r="V42" s="125" t="s">
        <v>611</v>
      </c>
      <c r="W42" s="125">
        <v>0</v>
      </c>
      <c r="X42" s="125">
        <v>0</v>
      </c>
      <c r="Y42" s="125" t="s">
        <v>611</v>
      </c>
      <c r="Z42" s="125"/>
      <c r="AB42" s="258" t="s">
        <v>644</v>
      </c>
      <c r="AC42" s="258" t="s">
        <v>645</v>
      </c>
      <c r="AD42" s="125" t="s">
        <v>631</v>
      </c>
      <c r="AE42" s="125" t="s">
        <v>631</v>
      </c>
      <c r="AF42" s="125" t="s">
        <v>611</v>
      </c>
      <c r="AG42" s="125" t="s">
        <v>631</v>
      </c>
      <c r="AH42" s="125">
        <v>3</v>
      </c>
      <c r="AI42" s="125">
        <v>1</v>
      </c>
      <c r="AJ42" s="125">
        <v>0</v>
      </c>
      <c r="AK42" s="125">
        <v>0</v>
      </c>
      <c r="AL42" s="125" t="s">
        <v>631</v>
      </c>
      <c r="AO42" s="258" t="s">
        <v>644</v>
      </c>
      <c r="AP42" s="258" t="s">
        <v>645</v>
      </c>
      <c r="AQ42" s="125">
        <v>26</v>
      </c>
      <c r="AR42" s="125" t="s">
        <v>631</v>
      </c>
      <c r="AS42" s="125" t="s">
        <v>611</v>
      </c>
      <c r="AT42" s="125" t="s">
        <v>631</v>
      </c>
      <c r="AU42" s="125">
        <v>3</v>
      </c>
      <c r="AV42" s="125">
        <v>1</v>
      </c>
      <c r="AW42" s="125">
        <v>0</v>
      </c>
      <c r="AX42" s="125">
        <v>0</v>
      </c>
      <c r="AY42" s="125" t="s">
        <v>631</v>
      </c>
      <c r="BB42" s="258" t="s">
        <v>644</v>
      </c>
      <c r="BC42" s="258" t="s">
        <v>645</v>
      </c>
      <c r="BD42" s="125" t="s">
        <v>631</v>
      </c>
      <c r="BE42" s="125">
        <v>0</v>
      </c>
      <c r="BF42" s="125">
        <v>0</v>
      </c>
      <c r="BG42" s="125">
        <v>0</v>
      </c>
      <c r="BH42" s="125">
        <v>0</v>
      </c>
      <c r="BI42" s="125" t="s">
        <v>631</v>
      </c>
      <c r="BJ42" s="125" t="s">
        <v>611</v>
      </c>
      <c r="BK42" s="261"/>
      <c r="BL42" s="261"/>
      <c r="BM42" s="258" t="s">
        <v>644</v>
      </c>
      <c r="BN42" s="258" t="s">
        <v>645</v>
      </c>
      <c r="BO42" s="261" t="e">
        <f t="shared" si="3"/>
        <v>#VALUE!</v>
      </c>
      <c r="BP42" s="261" t="str">
        <f t="shared" si="4"/>
        <v>Q</v>
      </c>
      <c r="BQ42" s="261" t="e">
        <f t="shared" si="5"/>
        <v>#VALUE!</v>
      </c>
      <c r="BR42" s="261" t="e">
        <f t="shared" si="6"/>
        <v>#VALUE!</v>
      </c>
      <c r="BS42" s="261">
        <f t="shared" si="7"/>
        <v>3</v>
      </c>
      <c r="BT42" s="261" t="e">
        <f t="shared" si="8"/>
        <v>#VALUE!</v>
      </c>
      <c r="BU42" s="261">
        <f t="shared" si="9"/>
        <v>0</v>
      </c>
      <c r="BV42" s="261">
        <f t="shared" si="10"/>
        <v>0</v>
      </c>
      <c r="BW42" s="125" t="str">
        <f t="shared" si="11"/>
        <v>Q</v>
      </c>
      <c r="BZ42" s="258" t="s">
        <v>644</v>
      </c>
      <c r="CA42" s="258" t="s">
        <v>645</v>
      </c>
      <c r="CB42" s="261" t="e">
        <f t="shared" si="12"/>
        <v>#VALUE!</v>
      </c>
      <c r="CC42" s="409" t="str">
        <f t="shared" si="13"/>
        <v>Q</v>
      </c>
      <c r="CD42" s="409" t="e">
        <f t="shared" si="14"/>
        <v>#VALUE!</v>
      </c>
      <c r="CE42" s="409" t="e">
        <f t="shared" si="15"/>
        <v>#VALUE!</v>
      </c>
      <c r="CF42" s="409">
        <f t="shared" si="16"/>
        <v>3</v>
      </c>
      <c r="CG42" s="409" t="e">
        <f t="shared" si="17"/>
        <v>#VALUE!</v>
      </c>
      <c r="CH42" s="409">
        <f t="shared" si="18"/>
        <v>0</v>
      </c>
      <c r="CI42" s="409">
        <f t="shared" si="19"/>
        <v>0</v>
      </c>
      <c r="CJ42" s="409" t="str">
        <f t="shared" si="20"/>
        <v>Q</v>
      </c>
      <c r="CK42" s="372">
        <f t="shared" si="21"/>
        <v>0</v>
      </c>
      <c r="CM42" s="258" t="s">
        <v>644</v>
      </c>
      <c r="CN42" s="258" t="s">
        <v>645</v>
      </c>
      <c r="CO42" s="5" t="e">
        <f t="shared" si="22"/>
        <v>#VALUE!</v>
      </c>
      <c r="CP42" s="5" t="e">
        <f t="shared" si="23"/>
        <v>#VALUE!</v>
      </c>
      <c r="CQ42" s="5" t="e">
        <f t="shared" si="24"/>
        <v>#VALUE!</v>
      </c>
      <c r="CR42" s="5" t="e">
        <f t="shared" si="25"/>
        <v>#VALUE!</v>
      </c>
      <c r="CS42" s="5">
        <f t="shared" si="26"/>
        <v>8.703220191470844E-4</v>
      </c>
      <c r="CT42" s="5" t="e">
        <f t="shared" si="27"/>
        <v>#VALUE!</v>
      </c>
      <c r="CU42" s="5">
        <f t="shared" si="28"/>
        <v>0</v>
      </c>
      <c r="CV42" s="5">
        <f t="shared" si="29"/>
        <v>0</v>
      </c>
      <c r="CW42" s="5">
        <f t="shared" si="30"/>
        <v>0</v>
      </c>
      <c r="CX42" s="5" t="e">
        <f t="shared" si="31"/>
        <v>#VALUE!</v>
      </c>
      <c r="CZ42" s="447" t="s">
        <v>644</v>
      </c>
      <c r="DA42" s="447" t="s">
        <v>645</v>
      </c>
      <c r="DB42" s="18" t="e">
        <f t="shared" si="32"/>
        <v>#VALUE!</v>
      </c>
      <c r="DC42" s="18" t="e">
        <f t="shared" si="33"/>
        <v>#VALUE!</v>
      </c>
      <c r="DD42" s="18" t="e">
        <f t="shared" si="34"/>
        <v>#VALUE!</v>
      </c>
      <c r="DE42" s="18">
        <f t="shared" si="35"/>
        <v>0</v>
      </c>
      <c r="DF42" s="18" t="e">
        <f t="shared" si="36"/>
        <v>#VALUE!</v>
      </c>
      <c r="DG42" s="18" t="e">
        <f t="shared" si="37"/>
        <v>#DIV/0!</v>
      </c>
      <c r="DH42" s="18" t="e">
        <f t="shared" si="38"/>
        <v>#DIV/0!</v>
      </c>
      <c r="DI42" s="18" t="e">
        <f t="shared" si="39"/>
        <v>#DIV/0!</v>
      </c>
      <c r="DJ42" s="18" t="e">
        <f t="shared" si="40"/>
        <v>#VALUE!</v>
      </c>
    </row>
    <row r="43" spans="1:114">
      <c r="A43" s="371" t="s">
        <v>646</v>
      </c>
      <c r="B43" s="371" t="s">
        <v>647</v>
      </c>
      <c r="C43" s="362">
        <v>1391</v>
      </c>
      <c r="D43" s="362">
        <v>91</v>
      </c>
      <c r="E43" s="362">
        <v>8</v>
      </c>
      <c r="F43" s="362">
        <v>3</v>
      </c>
      <c r="G43" s="362">
        <v>236</v>
      </c>
      <c r="H43" s="362">
        <v>1</v>
      </c>
      <c r="I43" s="372" t="e">
        <f t="shared" si="0"/>
        <v>#VALUE!</v>
      </c>
      <c r="J43" s="362">
        <v>80</v>
      </c>
      <c r="K43" s="362">
        <v>0</v>
      </c>
      <c r="L43" s="362">
        <v>971</v>
      </c>
      <c r="M43" s="372" t="e">
        <f t="shared" si="1"/>
        <v>#VALUE!</v>
      </c>
      <c r="N43" s="262"/>
      <c r="P43" s="258" t="s">
        <v>646</v>
      </c>
      <c r="Q43" s="258" t="s">
        <v>647</v>
      </c>
      <c r="R43" s="125" t="s">
        <v>611</v>
      </c>
      <c r="S43" s="125">
        <v>0</v>
      </c>
      <c r="T43" s="125" t="s">
        <v>611</v>
      </c>
      <c r="U43" s="125">
        <v>0</v>
      </c>
      <c r="V43" s="125">
        <v>0</v>
      </c>
      <c r="W43" s="125">
        <v>0</v>
      </c>
      <c r="X43" s="125">
        <v>0</v>
      </c>
      <c r="Y43" s="125" t="s">
        <v>611</v>
      </c>
      <c r="Z43" s="125"/>
      <c r="AB43" s="258" t="s">
        <v>646</v>
      </c>
      <c r="AC43" s="258" t="s">
        <v>647</v>
      </c>
      <c r="AD43" s="125">
        <v>1393</v>
      </c>
      <c r="AE43" s="125">
        <v>91</v>
      </c>
      <c r="AF43" s="125">
        <v>8</v>
      </c>
      <c r="AG43" s="125">
        <v>3</v>
      </c>
      <c r="AH43" s="125">
        <v>236</v>
      </c>
      <c r="AI43" s="125">
        <v>1</v>
      </c>
      <c r="AJ43" s="125">
        <v>80</v>
      </c>
      <c r="AK43" s="125">
        <v>0</v>
      </c>
      <c r="AL43" s="125">
        <v>973</v>
      </c>
      <c r="AO43" s="258" t="s">
        <v>646</v>
      </c>
      <c r="AP43" s="258" t="s">
        <v>647</v>
      </c>
      <c r="AQ43" s="125">
        <v>624</v>
      </c>
      <c r="AR43" s="125">
        <v>100</v>
      </c>
      <c r="AS43" s="125">
        <v>8</v>
      </c>
      <c r="AT43" s="125">
        <v>3</v>
      </c>
      <c r="AU43" s="125">
        <v>236</v>
      </c>
      <c r="AV43" s="125">
        <v>1</v>
      </c>
      <c r="AW43" s="125">
        <v>80</v>
      </c>
      <c r="AX43" s="125">
        <v>0</v>
      </c>
      <c r="AY43" s="125">
        <v>195</v>
      </c>
      <c r="BB43" s="258" t="s">
        <v>646</v>
      </c>
      <c r="BC43" s="258" t="s">
        <v>647</v>
      </c>
      <c r="BD43" s="125">
        <v>964</v>
      </c>
      <c r="BE43" s="125">
        <v>0</v>
      </c>
      <c r="BF43" s="125" t="s">
        <v>669</v>
      </c>
      <c r="BG43" s="125" t="s">
        <v>669</v>
      </c>
      <c r="BH43" s="125">
        <v>667</v>
      </c>
      <c r="BI43" s="125">
        <v>278</v>
      </c>
      <c r="BJ43" s="125">
        <v>5</v>
      </c>
      <c r="BK43" s="261"/>
      <c r="BL43" s="261"/>
      <c r="BM43" s="258" t="s">
        <v>646</v>
      </c>
      <c r="BN43" s="258" t="s">
        <v>647</v>
      </c>
      <c r="BO43" s="261" t="e">
        <f t="shared" si="3"/>
        <v>#VALUE!</v>
      </c>
      <c r="BP43" s="261">
        <f t="shared" si="4"/>
        <v>91</v>
      </c>
      <c r="BQ43" s="261">
        <f t="shared" si="5"/>
        <v>13</v>
      </c>
      <c r="BR43" s="261" t="e">
        <f t="shared" si="6"/>
        <v>#VALUE!</v>
      </c>
      <c r="BS43" s="261">
        <f t="shared" si="7"/>
        <v>236</v>
      </c>
      <c r="BT43" s="261" t="e">
        <f t="shared" si="8"/>
        <v>#VALUE!</v>
      </c>
      <c r="BU43" s="261">
        <f t="shared" si="9"/>
        <v>80</v>
      </c>
      <c r="BV43" s="261">
        <f t="shared" si="10"/>
        <v>0</v>
      </c>
      <c r="BW43" s="125">
        <f t="shared" si="11"/>
        <v>278</v>
      </c>
      <c r="BZ43" s="258" t="s">
        <v>646</v>
      </c>
      <c r="CA43" s="258" t="s">
        <v>647</v>
      </c>
      <c r="CB43" s="261" t="e">
        <f t="shared" si="12"/>
        <v>#VALUE!</v>
      </c>
      <c r="CC43" s="409">
        <f t="shared" si="13"/>
        <v>91</v>
      </c>
      <c r="CD43" s="409">
        <f t="shared" si="14"/>
        <v>8</v>
      </c>
      <c r="CE43" s="409" t="e">
        <f t="shared" si="15"/>
        <v>#VALUE!</v>
      </c>
      <c r="CF43" s="409">
        <f t="shared" si="16"/>
        <v>236</v>
      </c>
      <c r="CG43" s="409" t="e">
        <f t="shared" si="17"/>
        <v>#VALUE!</v>
      </c>
      <c r="CH43" s="409">
        <f t="shared" si="18"/>
        <v>80</v>
      </c>
      <c r="CI43" s="409">
        <f t="shared" si="19"/>
        <v>0</v>
      </c>
      <c r="CJ43" s="409">
        <f t="shared" si="20"/>
        <v>278</v>
      </c>
      <c r="CK43" s="372">
        <f t="shared" si="21"/>
        <v>0</v>
      </c>
      <c r="CM43" s="258" t="s">
        <v>646</v>
      </c>
      <c r="CN43" s="258" t="s">
        <v>647</v>
      </c>
      <c r="CO43" s="5" t="e">
        <f t="shared" si="22"/>
        <v>#VALUE!</v>
      </c>
      <c r="CP43" s="5">
        <f t="shared" si="23"/>
        <v>8.0105633802816906E-2</v>
      </c>
      <c r="CQ43" s="5">
        <f t="shared" si="24"/>
        <v>9.5238095238095233E-2</v>
      </c>
      <c r="CR43" s="5" t="e">
        <f t="shared" si="25"/>
        <v>#VALUE!</v>
      </c>
      <c r="CS43" s="5">
        <f t="shared" si="26"/>
        <v>6.8465332172903973E-2</v>
      </c>
      <c r="CT43" s="5" t="e">
        <f t="shared" si="27"/>
        <v>#VALUE!</v>
      </c>
      <c r="CU43" s="5">
        <f t="shared" si="28"/>
        <v>0.20671834625322996</v>
      </c>
      <c r="CV43" s="5">
        <f t="shared" si="29"/>
        <v>0</v>
      </c>
      <c r="CW43" s="5">
        <f t="shared" si="30"/>
        <v>0.19047619047619047</v>
      </c>
      <c r="CX43" s="5">
        <f t="shared" si="31"/>
        <v>0.65258215962441313</v>
      </c>
      <c r="CZ43" s="447" t="s">
        <v>646</v>
      </c>
      <c r="DA43" s="447" t="s">
        <v>647</v>
      </c>
      <c r="DB43" s="18" t="e">
        <f t="shared" si="32"/>
        <v>#VALUE!</v>
      </c>
      <c r="DC43" s="18">
        <f t="shared" si="33"/>
        <v>0</v>
      </c>
      <c r="DD43" s="18" t="e">
        <f t="shared" si="34"/>
        <v>#VALUE!</v>
      </c>
      <c r="DE43" s="18">
        <f t="shared" si="35"/>
        <v>0</v>
      </c>
      <c r="DF43" s="18" t="e">
        <f t="shared" si="36"/>
        <v>#VALUE!</v>
      </c>
      <c r="DG43" s="18">
        <f t="shared" si="37"/>
        <v>0</v>
      </c>
      <c r="DH43" s="18" t="e">
        <f t="shared" si="38"/>
        <v>#DIV/0!</v>
      </c>
      <c r="DI43" s="18">
        <f t="shared" si="39"/>
        <v>0</v>
      </c>
      <c r="DJ43" s="18">
        <f t="shared" si="40"/>
        <v>0</v>
      </c>
    </row>
    <row r="44" spans="1:114">
      <c r="A44" s="371" t="s">
        <v>648</v>
      </c>
      <c r="B44" s="371" t="s">
        <v>649</v>
      </c>
      <c r="C44" s="362">
        <v>232</v>
      </c>
      <c r="D44" s="362">
        <v>3</v>
      </c>
      <c r="E44" s="362">
        <v>2</v>
      </c>
      <c r="F44" s="362">
        <v>1</v>
      </c>
      <c r="G44" s="362">
        <v>25</v>
      </c>
      <c r="H44" s="362" t="s">
        <v>611</v>
      </c>
      <c r="I44" s="372" t="e">
        <f t="shared" si="0"/>
        <v>#VALUE!</v>
      </c>
      <c r="J44" s="362">
        <v>1</v>
      </c>
      <c r="K44" s="362">
        <v>0</v>
      </c>
      <c r="L44" s="362">
        <v>199</v>
      </c>
      <c r="M44" s="372" t="e">
        <f t="shared" si="1"/>
        <v>#VALUE!</v>
      </c>
      <c r="N44" s="262"/>
      <c r="P44" s="258" t="s">
        <v>648</v>
      </c>
      <c r="Q44" s="258" t="s">
        <v>649</v>
      </c>
      <c r="R44" s="125" t="s">
        <v>611</v>
      </c>
      <c r="S44" s="125">
        <v>0</v>
      </c>
      <c r="T44" s="125">
        <v>0</v>
      </c>
      <c r="U44" s="125">
        <v>0</v>
      </c>
      <c r="V44" s="125">
        <v>0</v>
      </c>
      <c r="W44" s="125">
        <v>0</v>
      </c>
      <c r="X44" s="125">
        <v>0</v>
      </c>
      <c r="Y44" s="125" t="s">
        <v>611</v>
      </c>
      <c r="Z44" s="125"/>
      <c r="AB44" s="258" t="s">
        <v>648</v>
      </c>
      <c r="AC44" s="258" t="s">
        <v>649</v>
      </c>
      <c r="AD44" s="125">
        <v>231</v>
      </c>
      <c r="AE44" s="125">
        <v>3</v>
      </c>
      <c r="AF44" s="125">
        <v>2</v>
      </c>
      <c r="AG44" s="125">
        <v>1</v>
      </c>
      <c r="AH44" s="125">
        <v>25</v>
      </c>
      <c r="AI44" s="125" t="s">
        <v>611</v>
      </c>
      <c r="AJ44" s="125">
        <v>1</v>
      </c>
      <c r="AK44" s="125">
        <v>0</v>
      </c>
      <c r="AL44" s="125">
        <v>199</v>
      </c>
      <c r="AO44" s="258" t="s">
        <v>648</v>
      </c>
      <c r="AP44" s="258" t="s">
        <v>649</v>
      </c>
      <c r="AQ44" s="125">
        <v>54</v>
      </c>
      <c r="AR44" s="125">
        <v>5</v>
      </c>
      <c r="AS44" s="125">
        <v>2</v>
      </c>
      <c r="AT44" s="125">
        <v>1</v>
      </c>
      <c r="AU44" s="125">
        <v>25</v>
      </c>
      <c r="AV44" s="125" t="s">
        <v>611</v>
      </c>
      <c r="AW44" s="125">
        <v>1</v>
      </c>
      <c r="AX44" s="125">
        <v>0</v>
      </c>
      <c r="AY44" s="125">
        <v>21</v>
      </c>
      <c r="BB44" s="258" t="s">
        <v>648</v>
      </c>
      <c r="BC44" s="258" t="s">
        <v>649</v>
      </c>
      <c r="BD44" s="125">
        <v>199</v>
      </c>
      <c r="BE44" s="125">
        <v>0</v>
      </c>
      <c r="BF44" s="125">
        <v>0</v>
      </c>
      <c r="BG44" s="125" t="s">
        <v>611</v>
      </c>
      <c r="BH44" s="125">
        <v>152</v>
      </c>
      <c r="BI44" s="125">
        <v>47</v>
      </c>
      <c r="BJ44" s="125" t="s">
        <v>611</v>
      </c>
      <c r="BK44" s="261"/>
      <c r="BL44" s="261"/>
      <c r="BM44" s="258" t="s">
        <v>648</v>
      </c>
      <c r="BN44" s="258" t="s">
        <v>649</v>
      </c>
      <c r="BO44" s="261" t="e">
        <f t="shared" si="3"/>
        <v>#VALUE!</v>
      </c>
      <c r="BP44" s="261">
        <f t="shared" si="4"/>
        <v>3</v>
      </c>
      <c r="BQ44" s="261" t="e">
        <f t="shared" si="5"/>
        <v>#VALUE!</v>
      </c>
      <c r="BR44" s="261">
        <f t="shared" si="6"/>
        <v>1</v>
      </c>
      <c r="BS44" s="261">
        <f t="shared" si="7"/>
        <v>25</v>
      </c>
      <c r="BT44" s="261" t="e">
        <f t="shared" si="8"/>
        <v>#VALUE!</v>
      </c>
      <c r="BU44" s="261">
        <f t="shared" si="9"/>
        <v>1</v>
      </c>
      <c r="BV44" s="261">
        <f t="shared" si="10"/>
        <v>0</v>
      </c>
      <c r="BW44" s="125">
        <f t="shared" si="11"/>
        <v>47</v>
      </c>
      <c r="BZ44" s="258" t="s">
        <v>648</v>
      </c>
      <c r="CA44" s="258" t="s">
        <v>649</v>
      </c>
      <c r="CB44" s="261" t="e">
        <f t="shared" si="12"/>
        <v>#VALUE!</v>
      </c>
      <c r="CC44" s="409">
        <f t="shared" si="13"/>
        <v>3</v>
      </c>
      <c r="CD44" s="409">
        <f t="shared" si="14"/>
        <v>2</v>
      </c>
      <c r="CE44" s="409">
        <f t="shared" si="15"/>
        <v>1</v>
      </c>
      <c r="CF44" s="409">
        <f t="shared" si="16"/>
        <v>25</v>
      </c>
      <c r="CG44" s="409" t="e">
        <f t="shared" si="17"/>
        <v>#VALUE!</v>
      </c>
      <c r="CH44" s="409">
        <f t="shared" si="18"/>
        <v>1</v>
      </c>
      <c r="CI44" s="409">
        <f t="shared" si="19"/>
        <v>0</v>
      </c>
      <c r="CJ44" s="409">
        <f t="shared" si="20"/>
        <v>47</v>
      </c>
      <c r="CK44" s="372">
        <f t="shared" si="21"/>
        <v>0</v>
      </c>
      <c r="CM44" s="258" t="s">
        <v>648</v>
      </c>
      <c r="CN44" s="258" t="s">
        <v>649</v>
      </c>
      <c r="CO44" s="5" t="e">
        <f t="shared" si="22"/>
        <v>#VALUE!</v>
      </c>
      <c r="CP44" s="5">
        <f t="shared" si="23"/>
        <v>2.6408450704225352E-3</v>
      </c>
      <c r="CQ44" s="5">
        <f t="shared" si="24"/>
        <v>2.3809523809523808E-2</v>
      </c>
      <c r="CR44" s="5">
        <f t="shared" si="25"/>
        <v>1.6806722689075631E-3</v>
      </c>
      <c r="CS44" s="5">
        <f t="shared" si="26"/>
        <v>7.2526834928923704E-3</v>
      </c>
      <c r="CT44" s="5" t="e">
        <f t="shared" si="27"/>
        <v>#VALUE!</v>
      </c>
      <c r="CU44" s="5">
        <f t="shared" si="28"/>
        <v>2.5839793281653748E-3</v>
      </c>
      <c r="CV44" s="5">
        <f t="shared" si="29"/>
        <v>0</v>
      </c>
      <c r="CW44" s="5">
        <f t="shared" si="30"/>
        <v>2.3809523809523812E-3</v>
      </c>
      <c r="CX44" s="5">
        <f t="shared" si="31"/>
        <v>0.11032863849765258</v>
      </c>
      <c r="CZ44" s="447" t="s">
        <v>648</v>
      </c>
      <c r="DA44" s="447" t="s">
        <v>649</v>
      </c>
      <c r="DB44" s="18" t="e">
        <f t="shared" si="32"/>
        <v>#VALUE!</v>
      </c>
      <c r="DC44" s="18">
        <f t="shared" si="33"/>
        <v>0</v>
      </c>
      <c r="DD44" s="18">
        <f t="shared" si="34"/>
        <v>0</v>
      </c>
      <c r="DE44" s="18">
        <f t="shared" si="35"/>
        <v>0</v>
      </c>
      <c r="DF44" s="18" t="e">
        <f t="shared" si="36"/>
        <v>#VALUE!</v>
      </c>
      <c r="DG44" s="18">
        <f t="shared" si="37"/>
        <v>0</v>
      </c>
      <c r="DH44" s="18" t="e">
        <f t="shared" si="38"/>
        <v>#DIV/0!</v>
      </c>
      <c r="DI44" s="18">
        <f t="shared" si="39"/>
        <v>0</v>
      </c>
      <c r="DJ44" s="18">
        <f t="shared" si="40"/>
        <v>0</v>
      </c>
    </row>
    <row r="45" spans="1:114" ht="35.65">
      <c r="A45" s="371" t="s">
        <v>650</v>
      </c>
      <c r="B45" s="371" t="s">
        <v>651</v>
      </c>
      <c r="C45" s="362">
        <v>377</v>
      </c>
      <c r="D45" s="362">
        <v>26</v>
      </c>
      <c r="E45" s="362">
        <v>2</v>
      </c>
      <c r="F45" s="362">
        <v>1</v>
      </c>
      <c r="G45" s="362">
        <v>72</v>
      </c>
      <c r="H45" s="362" t="s">
        <v>611</v>
      </c>
      <c r="I45" s="372" t="e">
        <f t="shared" si="0"/>
        <v>#VALUE!</v>
      </c>
      <c r="J45" s="362">
        <v>39</v>
      </c>
      <c r="K45" s="362">
        <v>0</v>
      </c>
      <c r="L45" s="362">
        <v>237</v>
      </c>
      <c r="M45" s="372" t="e">
        <f t="shared" si="1"/>
        <v>#VALUE!</v>
      </c>
      <c r="N45" s="262"/>
      <c r="P45" s="258" t="s">
        <v>650</v>
      </c>
      <c r="Q45" s="258" t="s">
        <v>651</v>
      </c>
      <c r="R45" s="125" t="s">
        <v>611</v>
      </c>
      <c r="S45" s="125">
        <v>0</v>
      </c>
      <c r="T45" s="125">
        <v>0</v>
      </c>
      <c r="U45" s="125">
        <v>0</v>
      </c>
      <c r="V45" s="125">
        <v>0</v>
      </c>
      <c r="W45" s="125">
        <v>0</v>
      </c>
      <c r="X45" s="125">
        <v>0</v>
      </c>
      <c r="Y45" s="125" t="s">
        <v>611</v>
      </c>
      <c r="Z45" s="125"/>
      <c r="AB45" s="258" t="s">
        <v>650</v>
      </c>
      <c r="AC45" s="258" t="s">
        <v>651</v>
      </c>
      <c r="AD45" s="125">
        <v>377</v>
      </c>
      <c r="AE45" s="125">
        <v>26</v>
      </c>
      <c r="AF45" s="125">
        <v>2</v>
      </c>
      <c r="AG45" s="125">
        <v>1</v>
      </c>
      <c r="AH45" s="125">
        <v>72</v>
      </c>
      <c r="AI45" s="125" t="s">
        <v>611</v>
      </c>
      <c r="AJ45" s="125">
        <v>39</v>
      </c>
      <c r="AK45" s="125">
        <v>0</v>
      </c>
      <c r="AL45" s="125">
        <v>237</v>
      </c>
      <c r="AO45" s="258" t="s">
        <v>650</v>
      </c>
      <c r="AP45" s="258" t="s">
        <v>651</v>
      </c>
      <c r="AQ45" s="125">
        <v>187</v>
      </c>
      <c r="AR45" s="125">
        <v>28</v>
      </c>
      <c r="AS45" s="125">
        <v>2</v>
      </c>
      <c r="AT45" s="125">
        <v>1</v>
      </c>
      <c r="AU45" s="125">
        <v>72</v>
      </c>
      <c r="AV45" s="125" t="s">
        <v>611</v>
      </c>
      <c r="AW45" s="125">
        <v>39</v>
      </c>
      <c r="AX45" s="125">
        <v>0</v>
      </c>
      <c r="AY45" s="125">
        <v>45</v>
      </c>
      <c r="BB45" s="258" t="s">
        <v>650</v>
      </c>
      <c r="BC45" s="258" t="s">
        <v>651</v>
      </c>
      <c r="BD45" s="125">
        <v>235</v>
      </c>
      <c r="BE45" s="125">
        <v>0</v>
      </c>
      <c r="BF45" s="125" t="s">
        <v>611</v>
      </c>
      <c r="BG45" s="125" t="s">
        <v>669</v>
      </c>
      <c r="BH45" s="125">
        <v>171</v>
      </c>
      <c r="BI45" s="125" t="s">
        <v>669</v>
      </c>
      <c r="BJ45" s="125">
        <v>0</v>
      </c>
      <c r="BK45" s="261"/>
      <c r="BL45" s="261"/>
      <c r="BM45" s="258" t="s">
        <v>650</v>
      </c>
      <c r="BN45" s="258" t="s">
        <v>651</v>
      </c>
      <c r="BO45" s="261" t="e">
        <f t="shared" si="3"/>
        <v>#VALUE!</v>
      </c>
      <c r="BP45" s="261">
        <f t="shared" si="4"/>
        <v>26</v>
      </c>
      <c r="BQ45" s="261">
        <f t="shared" si="5"/>
        <v>2</v>
      </c>
      <c r="BR45" s="261">
        <f t="shared" si="6"/>
        <v>1</v>
      </c>
      <c r="BS45" s="261">
        <f t="shared" si="7"/>
        <v>72</v>
      </c>
      <c r="BT45" s="261" t="e">
        <f t="shared" si="8"/>
        <v>#VALUE!</v>
      </c>
      <c r="BU45" s="261">
        <f t="shared" si="9"/>
        <v>39</v>
      </c>
      <c r="BV45" s="261">
        <f t="shared" si="10"/>
        <v>0</v>
      </c>
      <c r="BW45" s="125" t="str">
        <f t="shared" si="11"/>
        <v>W</v>
      </c>
      <c r="BZ45" s="258" t="s">
        <v>650</v>
      </c>
      <c r="CA45" s="258" t="s">
        <v>651</v>
      </c>
      <c r="CB45" s="261" t="e">
        <f t="shared" si="12"/>
        <v>#VALUE!</v>
      </c>
      <c r="CC45" s="409">
        <f t="shared" si="13"/>
        <v>26</v>
      </c>
      <c r="CD45" s="409">
        <f t="shared" si="14"/>
        <v>2</v>
      </c>
      <c r="CE45" s="409">
        <f t="shared" si="15"/>
        <v>1</v>
      </c>
      <c r="CF45" s="409">
        <f t="shared" si="16"/>
        <v>72</v>
      </c>
      <c r="CG45" s="409" t="e">
        <f t="shared" si="17"/>
        <v>#VALUE!</v>
      </c>
      <c r="CH45" s="409">
        <f t="shared" si="18"/>
        <v>39</v>
      </c>
      <c r="CI45" s="409">
        <f t="shared" si="19"/>
        <v>0</v>
      </c>
      <c r="CJ45" s="409" t="str">
        <f t="shared" si="20"/>
        <v>W</v>
      </c>
      <c r="CK45" s="372">
        <f t="shared" si="21"/>
        <v>0</v>
      </c>
      <c r="CM45" s="258" t="s">
        <v>650</v>
      </c>
      <c r="CN45" s="258" t="s">
        <v>651</v>
      </c>
      <c r="CO45" s="5" t="e">
        <f t="shared" si="22"/>
        <v>#VALUE!</v>
      </c>
      <c r="CP45" s="5">
        <f t="shared" si="23"/>
        <v>2.2887323943661973E-2</v>
      </c>
      <c r="CQ45" s="5">
        <f t="shared" si="24"/>
        <v>2.3809523809523808E-2</v>
      </c>
      <c r="CR45" s="5">
        <f t="shared" si="25"/>
        <v>1.6806722689075631E-3</v>
      </c>
      <c r="CS45" s="5">
        <f t="shared" si="26"/>
        <v>2.0887728459530026E-2</v>
      </c>
      <c r="CT45" s="5" t="e">
        <f t="shared" si="27"/>
        <v>#VALUE!</v>
      </c>
      <c r="CU45" s="5">
        <f t="shared" si="28"/>
        <v>0.10077519379844961</v>
      </c>
      <c r="CV45" s="5">
        <f t="shared" si="29"/>
        <v>0</v>
      </c>
      <c r="CW45" s="5">
        <f t="shared" si="30"/>
        <v>9.285714285714286E-2</v>
      </c>
      <c r="CX45" s="5" t="e">
        <f t="shared" si="31"/>
        <v>#VALUE!</v>
      </c>
      <c r="CZ45" s="447" t="s">
        <v>650</v>
      </c>
      <c r="DA45" s="447" t="s">
        <v>651</v>
      </c>
      <c r="DB45" s="18" t="e">
        <f t="shared" si="32"/>
        <v>#VALUE!</v>
      </c>
      <c r="DC45" s="18">
        <f t="shared" si="33"/>
        <v>0</v>
      </c>
      <c r="DD45" s="18">
        <f t="shared" si="34"/>
        <v>0</v>
      </c>
      <c r="DE45" s="18">
        <f t="shared" si="35"/>
        <v>0</v>
      </c>
      <c r="DF45" s="18" t="e">
        <f t="shared" si="36"/>
        <v>#VALUE!</v>
      </c>
      <c r="DG45" s="18">
        <f t="shared" si="37"/>
        <v>0</v>
      </c>
      <c r="DH45" s="18" t="e">
        <f t="shared" si="38"/>
        <v>#DIV/0!</v>
      </c>
      <c r="DI45" s="18">
        <f t="shared" si="39"/>
        <v>0</v>
      </c>
      <c r="DJ45" s="18" t="e">
        <f t="shared" si="40"/>
        <v>#VALUE!</v>
      </c>
    </row>
    <row r="46" spans="1:114" ht="24">
      <c r="A46" s="371" t="s">
        <v>652</v>
      </c>
      <c r="B46" s="371" t="s">
        <v>653</v>
      </c>
      <c r="C46" s="362">
        <v>34</v>
      </c>
      <c r="D46" s="362">
        <v>12</v>
      </c>
      <c r="E46" s="362">
        <v>0</v>
      </c>
      <c r="F46" s="362" t="s">
        <v>611</v>
      </c>
      <c r="G46" s="362">
        <v>7</v>
      </c>
      <c r="H46" s="362" t="s">
        <v>611</v>
      </c>
      <c r="I46" s="372" t="e">
        <f t="shared" si="0"/>
        <v>#VALUE!</v>
      </c>
      <c r="J46" s="362">
        <v>1</v>
      </c>
      <c r="K46" s="362">
        <v>0</v>
      </c>
      <c r="L46" s="362">
        <v>15</v>
      </c>
      <c r="M46" s="372" t="e">
        <f t="shared" si="1"/>
        <v>#VALUE!</v>
      </c>
      <c r="N46" s="262"/>
      <c r="P46" s="258" t="s">
        <v>652</v>
      </c>
      <c r="Q46" s="258" t="s">
        <v>653</v>
      </c>
      <c r="R46" s="125" t="s">
        <v>611</v>
      </c>
      <c r="S46" s="125">
        <v>0</v>
      </c>
      <c r="T46" s="125">
        <v>0</v>
      </c>
      <c r="U46" s="125">
        <v>0</v>
      </c>
      <c r="V46" s="125">
        <v>0</v>
      </c>
      <c r="W46" s="125">
        <v>0</v>
      </c>
      <c r="X46" s="125">
        <v>0</v>
      </c>
      <c r="Y46" s="125" t="s">
        <v>611</v>
      </c>
      <c r="Z46" s="125"/>
      <c r="AB46" s="258" t="s">
        <v>652</v>
      </c>
      <c r="AC46" s="258" t="s">
        <v>653</v>
      </c>
      <c r="AD46" s="125">
        <v>34</v>
      </c>
      <c r="AE46" s="125">
        <v>12</v>
      </c>
      <c r="AF46" s="125">
        <v>0</v>
      </c>
      <c r="AG46" s="125" t="s">
        <v>611</v>
      </c>
      <c r="AH46" s="125">
        <v>7</v>
      </c>
      <c r="AI46" s="125" t="s">
        <v>611</v>
      </c>
      <c r="AJ46" s="125">
        <v>1</v>
      </c>
      <c r="AK46" s="125">
        <v>0</v>
      </c>
      <c r="AL46" s="125">
        <v>15</v>
      </c>
      <c r="AO46" s="258" t="s">
        <v>652</v>
      </c>
      <c r="AP46" s="258" t="s">
        <v>653</v>
      </c>
      <c r="AQ46" s="125">
        <v>24</v>
      </c>
      <c r="AR46" s="125">
        <v>12</v>
      </c>
      <c r="AS46" s="125">
        <v>0</v>
      </c>
      <c r="AT46" s="125" t="s">
        <v>611</v>
      </c>
      <c r="AU46" s="125">
        <v>7</v>
      </c>
      <c r="AV46" s="125" t="s">
        <v>611</v>
      </c>
      <c r="AW46" s="125">
        <v>1</v>
      </c>
      <c r="AX46" s="125">
        <v>0</v>
      </c>
      <c r="AY46" s="125">
        <v>4</v>
      </c>
      <c r="BB46" s="258" t="s">
        <v>652</v>
      </c>
      <c r="BC46" s="258" t="s">
        <v>653</v>
      </c>
      <c r="BD46" s="125">
        <v>15</v>
      </c>
      <c r="BE46" s="125">
        <v>0</v>
      </c>
      <c r="BF46" s="125">
        <v>0</v>
      </c>
      <c r="BG46" s="125">
        <v>0</v>
      </c>
      <c r="BH46" s="125">
        <v>5</v>
      </c>
      <c r="BI46" s="125">
        <v>10</v>
      </c>
      <c r="BJ46" s="125">
        <v>0</v>
      </c>
      <c r="BK46" s="261"/>
      <c r="BL46" s="261"/>
      <c r="BM46" s="258" t="s">
        <v>652</v>
      </c>
      <c r="BN46" s="258" t="s">
        <v>653</v>
      </c>
      <c r="BO46" s="261" t="e">
        <f t="shared" si="3"/>
        <v>#VALUE!</v>
      </c>
      <c r="BP46" s="261">
        <f t="shared" si="4"/>
        <v>12</v>
      </c>
      <c r="BQ46" s="261">
        <f t="shared" si="5"/>
        <v>0</v>
      </c>
      <c r="BR46" s="261" t="e">
        <f t="shared" si="6"/>
        <v>#VALUE!</v>
      </c>
      <c r="BS46" s="261">
        <f t="shared" si="7"/>
        <v>7</v>
      </c>
      <c r="BT46" s="261" t="e">
        <f t="shared" si="8"/>
        <v>#VALUE!</v>
      </c>
      <c r="BU46" s="261">
        <f t="shared" si="9"/>
        <v>1</v>
      </c>
      <c r="BV46" s="261">
        <f t="shared" si="10"/>
        <v>0</v>
      </c>
      <c r="BW46" s="125">
        <f t="shared" si="11"/>
        <v>10</v>
      </c>
      <c r="BZ46" s="258" t="s">
        <v>652</v>
      </c>
      <c r="CA46" s="258" t="s">
        <v>653</v>
      </c>
      <c r="CB46" s="261" t="e">
        <f t="shared" si="12"/>
        <v>#VALUE!</v>
      </c>
      <c r="CC46" s="409">
        <f t="shared" si="13"/>
        <v>12</v>
      </c>
      <c r="CD46" s="409">
        <f t="shared" si="14"/>
        <v>0</v>
      </c>
      <c r="CE46" s="409" t="e">
        <f t="shared" si="15"/>
        <v>#VALUE!</v>
      </c>
      <c r="CF46" s="409">
        <f t="shared" si="16"/>
        <v>7</v>
      </c>
      <c r="CG46" s="409" t="e">
        <f t="shared" si="17"/>
        <v>#VALUE!</v>
      </c>
      <c r="CH46" s="409">
        <f t="shared" si="18"/>
        <v>1</v>
      </c>
      <c r="CI46" s="409">
        <f t="shared" si="19"/>
        <v>0</v>
      </c>
      <c r="CJ46" s="409">
        <f t="shared" si="20"/>
        <v>10</v>
      </c>
      <c r="CK46" s="372">
        <f t="shared" si="21"/>
        <v>0</v>
      </c>
      <c r="CM46" s="258" t="s">
        <v>652</v>
      </c>
      <c r="CN46" s="258" t="s">
        <v>653</v>
      </c>
      <c r="CO46" s="5" t="e">
        <f t="shared" si="22"/>
        <v>#VALUE!</v>
      </c>
      <c r="CP46" s="5">
        <f t="shared" si="23"/>
        <v>1.0563380281690141E-2</v>
      </c>
      <c r="CQ46" s="5">
        <f t="shared" si="24"/>
        <v>0</v>
      </c>
      <c r="CR46" s="5" t="e">
        <f t="shared" si="25"/>
        <v>#VALUE!</v>
      </c>
      <c r="CS46" s="5">
        <f t="shared" si="26"/>
        <v>2.0307513780098638E-3</v>
      </c>
      <c r="CT46" s="5" t="e">
        <f t="shared" si="27"/>
        <v>#VALUE!</v>
      </c>
      <c r="CU46" s="5">
        <f t="shared" si="28"/>
        <v>2.5839793281653748E-3</v>
      </c>
      <c r="CV46" s="5">
        <f t="shared" si="29"/>
        <v>0</v>
      </c>
      <c r="CW46" s="5">
        <f t="shared" si="30"/>
        <v>2.3809523809523812E-3</v>
      </c>
      <c r="CX46" s="5">
        <f t="shared" si="31"/>
        <v>2.3474178403755867E-2</v>
      </c>
      <c r="CZ46" s="447" t="s">
        <v>652</v>
      </c>
      <c r="DA46" s="447" t="s">
        <v>653</v>
      </c>
      <c r="DB46" s="18" t="e">
        <f t="shared" si="32"/>
        <v>#VALUE!</v>
      </c>
      <c r="DC46" s="18" t="e">
        <f t="shared" si="33"/>
        <v>#DIV/0!</v>
      </c>
      <c r="DD46" s="18" t="e">
        <f t="shared" si="34"/>
        <v>#VALUE!</v>
      </c>
      <c r="DE46" s="18">
        <f t="shared" si="35"/>
        <v>0</v>
      </c>
      <c r="DF46" s="18" t="e">
        <f t="shared" si="36"/>
        <v>#VALUE!</v>
      </c>
      <c r="DG46" s="18">
        <f t="shared" si="37"/>
        <v>0</v>
      </c>
      <c r="DH46" s="18" t="e">
        <f t="shared" si="38"/>
        <v>#DIV/0!</v>
      </c>
      <c r="DI46" s="18">
        <f t="shared" si="39"/>
        <v>0</v>
      </c>
      <c r="DJ46" s="18">
        <f t="shared" si="40"/>
        <v>0</v>
      </c>
    </row>
    <row r="47" spans="1:114" ht="24">
      <c r="A47" s="371" t="s">
        <v>654</v>
      </c>
      <c r="B47" s="371" t="s">
        <v>655</v>
      </c>
      <c r="C47" s="362">
        <v>717</v>
      </c>
      <c r="D47" s="362">
        <v>33</v>
      </c>
      <c r="E47" s="362">
        <v>4</v>
      </c>
      <c r="F47" s="362">
        <v>2</v>
      </c>
      <c r="G47" s="362">
        <v>119</v>
      </c>
      <c r="H47" s="362" t="s">
        <v>611</v>
      </c>
      <c r="I47" s="372" t="e">
        <f t="shared" si="0"/>
        <v>#VALUE!</v>
      </c>
      <c r="J47" s="362">
        <v>39</v>
      </c>
      <c r="K47" s="362">
        <v>0</v>
      </c>
      <c r="L47" s="362">
        <v>520</v>
      </c>
      <c r="M47" s="372" t="e">
        <f t="shared" si="1"/>
        <v>#VALUE!</v>
      </c>
      <c r="N47" s="262"/>
      <c r="P47" s="258" t="s">
        <v>654</v>
      </c>
      <c r="Q47" s="258" t="s">
        <v>655</v>
      </c>
      <c r="R47" s="125" t="s">
        <v>611</v>
      </c>
      <c r="S47" s="125">
        <v>0</v>
      </c>
      <c r="T47" s="125" t="s">
        <v>611</v>
      </c>
      <c r="U47" s="125">
        <v>0</v>
      </c>
      <c r="V47" s="125">
        <v>0</v>
      </c>
      <c r="W47" s="125">
        <v>0</v>
      </c>
      <c r="X47" s="125">
        <v>0</v>
      </c>
      <c r="Y47" s="125" t="s">
        <v>611</v>
      </c>
      <c r="Z47" s="125"/>
      <c r="AB47" s="258" t="s">
        <v>654</v>
      </c>
      <c r="AC47" s="258" t="s">
        <v>655</v>
      </c>
      <c r="AD47" s="125">
        <v>719</v>
      </c>
      <c r="AE47" s="125">
        <v>33</v>
      </c>
      <c r="AF47" s="125">
        <v>4</v>
      </c>
      <c r="AG47" s="125">
        <v>2</v>
      </c>
      <c r="AH47" s="125">
        <v>119</v>
      </c>
      <c r="AI47" s="125" t="s">
        <v>611</v>
      </c>
      <c r="AJ47" s="125">
        <v>39</v>
      </c>
      <c r="AK47" s="125">
        <v>0</v>
      </c>
      <c r="AL47" s="125">
        <v>522</v>
      </c>
      <c r="AO47" s="258" t="s">
        <v>654</v>
      </c>
      <c r="AP47" s="258" t="s">
        <v>655</v>
      </c>
      <c r="AQ47" s="125">
        <v>328</v>
      </c>
      <c r="AR47" s="125">
        <v>38</v>
      </c>
      <c r="AS47" s="125">
        <v>4</v>
      </c>
      <c r="AT47" s="125">
        <v>2</v>
      </c>
      <c r="AU47" s="125">
        <v>119</v>
      </c>
      <c r="AV47" s="125" t="s">
        <v>611</v>
      </c>
      <c r="AW47" s="125">
        <v>39</v>
      </c>
      <c r="AX47" s="125">
        <v>0</v>
      </c>
      <c r="AY47" s="125">
        <v>125</v>
      </c>
      <c r="BB47" s="258" t="s">
        <v>654</v>
      </c>
      <c r="BC47" s="258" t="s">
        <v>655</v>
      </c>
      <c r="BD47" s="125">
        <v>515</v>
      </c>
      <c r="BE47" s="125">
        <v>0</v>
      </c>
      <c r="BF47" s="125" t="s">
        <v>669</v>
      </c>
      <c r="BG47" s="125" t="s">
        <v>669</v>
      </c>
      <c r="BH47" s="125">
        <v>340</v>
      </c>
      <c r="BI47" s="125" t="s">
        <v>669</v>
      </c>
      <c r="BJ47" s="125">
        <v>5</v>
      </c>
      <c r="BK47" s="261"/>
      <c r="BL47" s="261"/>
      <c r="BM47" s="258" t="s">
        <v>654</v>
      </c>
      <c r="BN47" s="258" t="s">
        <v>655</v>
      </c>
      <c r="BO47" s="261" t="e">
        <f t="shared" si="3"/>
        <v>#VALUE!</v>
      </c>
      <c r="BP47" s="261">
        <f t="shared" si="4"/>
        <v>33</v>
      </c>
      <c r="BQ47" s="261">
        <f t="shared" si="5"/>
        <v>9</v>
      </c>
      <c r="BR47" s="261" t="e">
        <f t="shared" si="6"/>
        <v>#VALUE!</v>
      </c>
      <c r="BS47" s="261">
        <f t="shared" si="7"/>
        <v>119</v>
      </c>
      <c r="BT47" s="261" t="e">
        <f t="shared" si="8"/>
        <v>#VALUE!</v>
      </c>
      <c r="BU47" s="261">
        <f t="shared" si="9"/>
        <v>39</v>
      </c>
      <c r="BV47" s="261">
        <f t="shared" si="10"/>
        <v>0</v>
      </c>
      <c r="BW47" s="125" t="str">
        <f t="shared" si="11"/>
        <v>W</v>
      </c>
      <c r="BZ47" s="258" t="s">
        <v>654</v>
      </c>
      <c r="CA47" s="258" t="s">
        <v>655</v>
      </c>
      <c r="CB47" s="261" t="e">
        <f t="shared" si="12"/>
        <v>#VALUE!</v>
      </c>
      <c r="CC47" s="409">
        <f t="shared" si="13"/>
        <v>33</v>
      </c>
      <c r="CD47" s="409">
        <f t="shared" si="14"/>
        <v>4</v>
      </c>
      <c r="CE47" s="409" t="e">
        <f t="shared" si="15"/>
        <v>#VALUE!</v>
      </c>
      <c r="CF47" s="409">
        <f t="shared" si="16"/>
        <v>119</v>
      </c>
      <c r="CG47" s="409" t="e">
        <f t="shared" si="17"/>
        <v>#VALUE!</v>
      </c>
      <c r="CH47" s="409">
        <f t="shared" si="18"/>
        <v>39</v>
      </c>
      <c r="CI47" s="409">
        <f t="shared" si="19"/>
        <v>0</v>
      </c>
      <c r="CJ47" s="409" t="str">
        <f t="shared" si="20"/>
        <v>W</v>
      </c>
      <c r="CK47" s="372">
        <f t="shared" si="21"/>
        <v>0</v>
      </c>
      <c r="CM47" s="258" t="s">
        <v>654</v>
      </c>
      <c r="CN47" s="258" t="s">
        <v>655</v>
      </c>
      <c r="CO47" s="5" t="e">
        <f t="shared" si="22"/>
        <v>#VALUE!</v>
      </c>
      <c r="CP47" s="5">
        <f t="shared" si="23"/>
        <v>2.9049295774647887E-2</v>
      </c>
      <c r="CQ47" s="5">
        <f t="shared" si="24"/>
        <v>4.7619047619047616E-2</v>
      </c>
      <c r="CR47" s="5" t="e">
        <f t="shared" si="25"/>
        <v>#VALUE!</v>
      </c>
      <c r="CS47" s="5">
        <f t="shared" si="26"/>
        <v>3.4522773426167684E-2</v>
      </c>
      <c r="CT47" s="5" t="e">
        <f t="shared" si="27"/>
        <v>#VALUE!</v>
      </c>
      <c r="CU47" s="5">
        <f t="shared" si="28"/>
        <v>0.10077519379844961</v>
      </c>
      <c r="CV47" s="5">
        <f t="shared" si="29"/>
        <v>0</v>
      </c>
      <c r="CW47" s="5">
        <f t="shared" si="30"/>
        <v>9.285714285714286E-2</v>
      </c>
      <c r="CX47" s="5" t="e">
        <f t="shared" si="31"/>
        <v>#VALUE!</v>
      </c>
      <c r="CZ47" s="447" t="s">
        <v>654</v>
      </c>
      <c r="DA47" s="447" t="s">
        <v>655</v>
      </c>
      <c r="DB47" s="18" t="e">
        <f t="shared" si="32"/>
        <v>#VALUE!</v>
      </c>
      <c r="DC47" s="18">
        <f t="shared" si="33"/>
        <v>0</v>
      </c>
      <c r="DD47" s="18" t="e">
        <f t="shared" si="34"/>
        <v>#VALUE!</v>
      </c>
      <c r="DE47" s="18">
        <f t="shared" si="35"/>
        <v>0</v>
      </c>
      <c r="DF47" s="18" t="e">
        <f t="shared" si="36"/>
        <v>#VALUE!</v>
      </c>
      <c r="DG47" s="18">
        <f t="shared" si="37"/>
        <v>0</v>
      </c>
      <c r="DH47" s="18" t="e">
        <f t="shared" si="38"/>
        <v>#DIV/0!</v>
      </c>
      <c r="DI47" s="18">
        <f t="shared" si="39"/>
        <v>0</v>
      </c>
      <c r="DJ47" s="18" t="e">
        <f t="shared" si="40"/>
        <v>#VALUE!</v>
      </c>
    </row>
    <row r="48" spans="1:114" ht="35.65">
      <c r="A48" s="371" t="s">
        <v>656</v>
      </c>
      <c r="B48" s="371" t="s">
        <v>657</v>
      </c>
      <c r="C48" s="362">
        <v>40</v>
      </c>
      <c r="D48" s="362">
        <v>22</v>
      </c>
      <c r="E48" s="362">
        <v>0</v>
      </c>
      <c r="F48" s="362" t="s">
        <v>611</v>
      </c>
      <c r="G48" s="362">
        <v>16</v>
      </c>
      <c r="H48" s="362" t="s">
        <v>631</v>
      </c>
      <c r="I48" s="372" t="e">
        <f t="shared" si="0"/>
        <v>#VALUE!</v>
      </c>
      <c r="J48" s="362">
        <v>0</v>
      </c>
      <c r="K48" s="362">
        <v>0</v>
      </c>
      <c r="L48" s="362" t="s">
        <v>631</v>
      </c>
      <c r="M48" s="372" t="e">
        <f t="shared" si="1"/>
        <v>#VALUE!</v>
      </c>
      <c r="N48" s="262"/>
      <c r="P48" s="258" t="s">
        <v>656</v>
      </c>
      <c r="Q48" s="258" t="s">
        <v>657</v>
      </c>
      <c r="R48" s="125" t="s">
        <v>611</v>
      </c>
      <c r="S48" s="125">
        <v>0</v>
      </c>
      <c r="T48" s="125" t="s">
        <v>611</v>
      </c>
      <c r="U48" s="125">
        <v>0</v>
      </c>
      <c r="V48" s="125">
        <v>0</v>
      </c>
      <c r="W48" s="125">
        <v>0</v>
      </c>
      <c r="X48" s="125">
        <v>0</v>
      </c>
      <c r="Y48" s="125" t="s">
        <v>611</v>
      </c>
      <c r="Z48" s="125"/>
      <c r="AB48" s="258" t="s">
        <v>656</v>
      </c>
      <c r="AC48" s="258" t="s">
        <v>657</v>
      </c>
      <c r="AD48" s="125">
        <v>40</v>
      </c>
      <c r="AE48" s="125">
        <v>22</v>
      </c>
      <c r="AF48" s="125">
        <v>0</v>
      </c>
      <c r="AG48" s="125" t="s">
        <v>611</v>
      </c>
      <c r="AH48" s="125">
        <v>16</v>
      </c>
      <c r="AI48" s="125" t="s">
        <v>631</v>
      </c>
      <c r="AJ48" s="125">
        <v>0</v>
      </c>
      <c r="AK48" s="125">
        <v>0</v>
      </c>
      <c r="AL48" s="125" t="s">
        <v>631</v>
      </c>
      <c r="AO48" s="258" t="s">
        <v>656</v>
      </c>
      <c r="AP48" s="258" t="s">
        <v>657</v>
      </c>
      <c r="AQ48" s="125">
        <v>40</v>
      </c>
      <c r="AR48" s="125">
        <v>22</v>
      </c>
      <c r="AS48" s="125">
        <v>0</v>
      </c>
      <c r="AT48" s="125" t="s">
        <v>611</v>
      </c>
      <c r="AU48" s="125">
        <v>16</v>
      </c>
      <c r="AV48" s="125" t="s">
        <v>631</v>
      </c>
      <c r="AW48" s="125">
        <v>0</v>
      </c>
      <c r="AX48" s="125">
        <v>0</v>
      </c>
      <c r="AY48" s="125" t="s">
        <v>611</v>
      </c>
      <c r="BB48" s="258" t="s">
        <v>656</v>
      </c>
      <c r="BC48" s="258" t="s">
        <v>657</v>
      </c>
      <c r="BD48" s="125" t="s">
        <v>631</v>
      </c>
      <c r="BE48" s="125">
        <v>0</v>
      </c>
      <c r="BF48" s="125">
        <v>0</v>
      </c>
      <c r="BG48" s="125">
        <v>0</v>
      </c>
      <c r="BH48" s="125">
        <v>0</v>
      </c>
      <c r="BI48" s="125">
        <v>0</v>
      </c>
      <c r="BJ48" s="125" t="s">
        <v>631</v>
      </c>
      <c r="BK48" s="261"/>
      <c r="BL48" s="261"/>
      <c r="BM48" s="258" t="s">
        <v>656</v>
      </c>
      <c r="BN48" s="258" t="s">
        <v>657</v>
      </c>
      <c r="BO48" s="261" t="e">
        <f t="shared" si="3"/>
        <v>#VALUE!</v>
      </c>
      <c r="BP48" s="261">
        <f t="shared" si="4"/>
        <v>22</v>
      </c>
      <c r="BQ48" s="261" t="e">
        <f t="shared" si="5"/>
        <v>#VALUE!</v>
      </c>
      <c r="BR48" s="261" t="e">
        <f t="shared" si="6"/>
        <v>#VALUE!</v>
      </c>
      <c r="BS48" s="261">
        <f t="shared" si="7"/>
        <v>16</v>
      </c>
      <c r="BT48" s="261" t="e">
        <f t="shared" si="8"/>
        <v>#VALUE!</v>
      </c>
      <c r="BU48" s="261">
        <f t="shared" si="9"/>
        <v>0</v>
      </c>
      <c r="BV48" s="261">
        <f t="shared" si="10"/>
        <v>0</v>
      </c>
      <c r="BW48" s="125">
        <f t="shared" si="11"/>
        <v>0</v>
      </c>
      <c r="BZ48" s="258" t="s">
        <v>656</v>
      </c>
      <c r="CA48" s="258" t="s">
        <v>657</v>
      </c>
      <c r="CB48" s="261" t="e">
        <f t="shared" si="12"/>
        <v>#VALUE!</v>
      </c>
      <c r="CC48" s="409">
        <f t="shared" si="13"/>
        <v>22</v>
      </c>
      <c r="CD48" s="409">
        <f t="shared" si="14"/>
        <v>0</v>
      </c>
      <c r="CE48" s="409" t="e">
        <f t="shared" si="15"/>
        <v>#VALUE!</v>
      </c>
      <c r="CF48" s="409">
        <f t="shared" si="16"/>
        <v>16</v>
      </c>
      <c r="CG48" s="409" t="e">
        <f t="shared" si="17"/>
        <v>#VALUE!</v>
      </c>
      <c r="CH48" s="409">
        <f t="shared" si="18"/>
        <v>0</v>
      </c>
      <c r="CI48" s="409">
        <f t="shared" si="19"/>
        <v>0</v>
      </c>
      <c r="CJ48" s="409">
        <f t="shared" si="20"/>
        <v>0</v>
      </c>
      <c r="CK48" s="372">
        <f t="shared" si="21"/>
        <v>0</v>
      </c>
      <c r="CM48" s="258" t="s">
        <v>656</v>
      </c>
      <c r="CN48" s="258" t="s">
        <v>657</v>
      </c>
      <c r="CO48" s="5" t="e">
        <f t="shared" si="22"/>
        <v>#VALUE!</v>
      </c>
      <c r="CP48" s="5">
        <f t="shared" si="23"/>
        <v>1.936619718309859E-2</v>
      </c>
      <c r="CQ48" s="5">
        <f t="shared" si="24"/>
        <v>0</v>
      </c>
      <c r="CR48" s="5" t="e">
        <f t="shared" si="25"/>
        <v>#VALUE!</v>
      </c>
      <c r="CS48" s="5">
        <f t="shared" si="26"/>
        <v>4.6417174354511171E-3</v>
      </c>
      <c r="CT48" s="5" t="e">
        <f t="shared" si="27"/>
        <v>#VALUE!</v>
      </c>
      <c r="CU48" s="5">
        <f t="shared" si="28"/>
        <v>0</v>
      </c>
      <c r="CV48" s="5">
        <f t="shared" si="29"/>
        <v>0</v>
      </c>
      <c r="CW48" s="5">
        <f t="shared" si="30"/>
        <v>0</v>
      </c>
      <c r="CX48" s="5">
        <f t="shared" si="31"/>
        <v>0</v>
      </c>
      <c r="CZ48" s="447" t="s">
        <v>656</v>
      </c>
      <c r="DA48" s="447" t="s">
        <v>657</v>
      </c>
      <c r="DB48" s="18" t="e">
        <f t="shared" si="32"/>
        <v>#VALUE!</v>
      </c>
      <c r="DC48" s="18" t="e">
        <f t="shared" si="33"/>
        <v>#DIV/0!</v>
      </c>
      <c r="DD48" s="18" t="e">
        <f t="shared" si="34"/>
        <v>#VALUE!</v>
      </c>
      <c r="DE48" s="18">
        <f t="shared" si="35"/>
        <v>0</v>
      </c>
      <c r="DF48" s="18" t="e">
        <f t="shared" si="36"/>
        <v>#VALUE!</v>
      </c>
      <c r="DG48" s="18" t="e">
        <f t="shared" si="37"/>
        <v>#DIV/0!</v>
      </c>
      <c r="DH48" s="18" t="e">
        <f t="shared" si="38"/>
        <v>#DIV/0!</v>
      </c>
      <c r="DI48" s="18" t="e">
        <f t="shared" si="39"/>
        <v>#DIV/0!</v>
      </c>
      <c r="DJ48" s="18" t="e">
        <f t="shared" si="40"/>
        <v>#DIV/0!</v>
      </c>
    </row>
    <row r="49" spans="1:116" s="26" customFormat="1" ht="24">
      <c r="A49" s="385" t="s">
        <v>658</v>
      </c>
      <c r="B49" s="385" t="s">
        <v>659</v>
      </c>
      <c r="C49" s="386">
        <v>2164</v>
      </c>
      <c r="D49" s="386">
        <v>98</v>
      </c>
      <c r="E49" s="386">
        <v>1</v>
      </c>
      <c r="F49" s="386">
        <f>6+BX49</f>
        <v>271</v>
      </c>
      <c r="G49" s="386">
        <v>622</v>
      </c>
      <c r="H49" s="386">
        <v>9</v>
      </c>
      <c r="I49" s="387">
        <f t="shared" si="0"/>
        <v>254</v>
      </c>
      <c r="J49" s="386">
        <v>65</v>
      </c>
      <c r="K49" s="386">
        <v>1</v>
      </c>
      <c r="L49" s="386">
        <v>1441</v>
      </c>
      <c r="M49" s="387">
        <f t="shared" si="1"/>
        <v>931</v>
      </c>
      <c r="N49" s="312"/>
      <c r="P49" s="201" t="s">
        <v>658</v>
      </c>
      <c r="Q49" s="201" t="s">
        <v>659</v>
      </c>
      <c r="R49" s="208">
        <v>310</v>
      </c>
      <c r="S49" s="208">
        <v>0</v>
      </c>
      <c r="T49" s="208"/>
      <c r="U49" s="208"/>
      <c r="V49" s="208"/>
      <c r="W49" s="208">
        <v>65</v>
      </c>
      <c r="X49" s="208">
        <v>1</v>
      </c>
      <c r="Y49" s="208">
        <v>245</v>
      </c>
      <c r="Z49" s="208"/>
      <c r="AB49" s="201" t="s">
        <v>658</v>
      </c>
      <c r="AC49" s="201" t="s">
        <v>659</v>
      </c>
      <c r="AD49" s="208">
        <v>1944</v>
      </c>
      <c r="AE49" s="208">
        <v>98</v>
      </c>
      <c r="AF49" s="208">
        <v>1</v>
      </c>
      <c r="AG49" s="208">
        <v>5</v>
      </c>
      <c r="AH49" s="208">
        <v>622</v>
      </c>
      <c r="AI49" s="208">
        <v>9</v>
      </c>
      <c r="AJ49" s="208">
        <v>0</v>
      </c>
      <c r="AK49" s="208">
        <v>0</v>
      </c>
      <c r="AL49" s="208">
        <v>1209</v>
      </c>
      <c r="AO49" s="201" t="s">
        <v>658</v>
      </c>
      <c r="AP49" s="201" t="s">
        <v>659</v>
      </c>
      <c r="AQ49" s="208">
        <v>1002</v>
      </c>
      <c r="AR49" s="208">
        <v>109</v>
      </c>
      <c r="AS49" s="208">
        <v>1</v>
      </c>
      <c r="AT49" s="208">
        <v>3</v>
      </c>
      <c r="AU49" s="208">
        <v>622</v>
      </c>
      <c r="AV49" s="208">
        <v>2</v>
      </c>
      <c r="AW49" s="208">
        <v>0</v>
      </c>
      <c r="AX49" s="208">
        <v>0</v>
      </c>
      <c r="AY49" s="208">
        <v>265</v>
      </c>
      <c r="BB49" s="201" t="s">
        <v>658</v>
      </c>
      <c r="BC49" s="201" t="s">
        <v>659</v>
      </c>
      <c r="BD49" s="208">
        <v>1023</v>
      </c>
      <c r="BE49" s="208">
        <v>11</v>
      </c>
      <c r="BF49" s="208">
        <v>700</v>
      </c>
      <c r="BG49" s="208">
        <v>309</v>
      </c>
      <c r="BH49" s="208">
        <v>0</v>
      </c>
      <c r="BI49" s="208">
        <v>0</v>
      </c>
      <c r="BJ49" s="208">
        <v>4</v>
      </c>
      <c r="BK49" s="313">
        <f>BJ49/(BJ49+AF49)</f>
        <v>0.8</v>
      </c>
      <c r="BL49" s="313"/>
      <c r="BM49" s="201" t="s">
        <v>658</v>
      </c>
      <c r="BN49" s="201" t="s">
        <v>659</v>
      </c>
      <c r="BO49" s="313">
        <f t="shared" si="3"/>
        <v>1315</v>
      </c>
      <c r="BP49" s="313">
        <f t="shared" si="4"/>
        <v>98</v>
      </c>
      <c r="BQ49" s="313">
        <f>S49+AF49+BJ49</f>
        <v>5</v>
      </c>
      <c r="BR49" s="313">
        <f>T49+AG49+BX49</f>
        <v>270</v>
      </c>
      <c r="BS49" s="313">
        <f t="shared" si="7"/>
        <v>622</v>
      </c>
      <c r="BT49" s="313">
        <f t="shared" si="8"/>
        <v>254</v>
      </c>
      <c r="BU49" s="313">
        <f t="shared" si="9"/>
        <v>65</v>
      </c>
      <c r="BV49" s="313">
        <f t="shared" si="10"/>
        <v>1</v>
      </c>
      <c r="BW49" s="125">
        <f t="shared" si="11"/>
        <v>0</v>
      </c>
      <c r="BX49" s="147">
        <v>265</v>
      </c>
      <c r="BZ49" s="201" t="s">
        <v>658</v>
      </c>
      <c r="CA49" s="201" t="s">
        <v>659</v>
      </c>
      <c r="CB49" s="261">
        <f t="shared" si="12"/>
        <v>1311</v>
      </c>
      <c r="CC49" s="409">
        <f t="shared" si="13"/>
        <v>98</v>
      </c>
      <c r="CD49" s="409">
        <f t="shared" si="14"/>
        <v>1</v>
      </c>
      <c r="CE49" s="409">
        <f t="shared" si="15"/>
        <v>270</v>
      </c>
      <c r="CF49" s="409">
        <f t="shared" si="16"/>
        <v>622</v>
      </c>
      <c r="CG49" s="409">
        <f t="shared" si="17"/>
        <v>254</v>
      </c>
      <c r="CH49" s="409">
        <f t="shared" si="18"/>
        <v>65</v>
      </c>
      <c r="CI49" s="409">
        <f t="shared" si="19"/>
        <v>1</v>
      </c>
      <c r="CJ49" s="409">
        <f t="shared" si="20"/>
        <v>0</v>
      </c>
      <c r="CK49" s="372">
        <f t="shared" si="21"/>
        <v>265</v>
      </c>
      <c r="CM49" s="201" t="s">
        <v>658</v>
      </c>
      <c r="CN49" s="201" t="s">
        <v>659</v>
      </c>
      <c r="CO49" s="5">
        <f t="shared" si="22"/>
        <v>0.14309102815979044</v>
      </c>
      <c r="CP49" s="5">
        <f t="shared" si="23"/>
        <v>8.6267605633802813E-2</v>
      </c>
      <c r="CQ49" s="5">
        <f t="shared" si="24"/>
        <v>1.1904761904761904E-2</v>
      </c>
      <c r="CR49" s="5">
        <f t="shared" si="25"/>
        <v>0.45378151260504201</v>
      </c>
      <c r="CS49" s="5">
        <f t="shared" si="26"/>
        <v>0.18044676530316217</v>
      </c>
      <c r="CT49" s="5">
        <f t="shared" si="27"/>
        <v>8.3169613621480024E-2</v>
      </c>
      <c r="CU49" s="5">
        <f t="shared" si="28"/>
        <v>0.16795865633074936</v>
      </c>
      <c r="CV49" s="5">
        <f t="shared" si="29"/>
        <v>3.0303030303030304E-2</v>
      </c>
      <c r="CW49" s="5">
        <f t="shared" si="30"/>
        <v>0.15714285714285714</v>
      </c>
      <c r="CX49" s="5">
        <f t="shared" si="31"/>
        <v>0</v>
      </c>
      <c r="CZ49" s="448" t="s">
        <v>658</v>
      </c>
      <c r="DA49" s="448" t="s">
        <v>659</v>
      </c>
      <c r="DB49" s="18">
        <f t="shared" si="32"/>
        <v>0.23646071700991608</v>
      </c>
      <c r="DC49" s="18">
        <f t="shared" si="33"/>
        <v>0</v>
      </c>
      <c r="DD49" s="18">
        <f t="shared" si="34"/>
        <v>0</v>
      </c>
      <c r="DE49" s="18">
        <f t="shared" si="35"/>
        <v>0</v>
      </c>
      <c r="DF49" s="18">
        <f t="shared" si="36"/>
        <v>0.96456692913385822</v>
      </c>
      <c r="DG49" s="18">
        <f t="shared" si="37"/>
        <v>1</v>
      </c>
      <c r="DH49" s="18">
        <f t="shared" si="38"/>
        <v>1</v>
      </c>
      <c r="DI49" s="18">
        <f t="shared" si="39"/>
        <v>1</v>
      </c>
      <c r="DJ49" s="18" t="e">
        <f t="shared" si="40"/>
        <v>#DIV/0!</v>
      </c>
    </row>
    <row r="50" spans="1:116" s="237" customFormat="1" ht="24">
      <c r="A50" s="373" t="s">
        <v>660</v>
      </c>
      <c r="B50" s="373" t="s">
        <v>661</v>
      </c>
      <c r="C50" s="363">
        <v>1869</v>
      </c>
      <c r="D50" s="363">
        <v>93</v>
      </c>
      <c r="E50" s="363"/>
      <c r="F50" s="363">
        <f>3+BX50</f>
        <v>244</v>
      </c>
      <c r="G50" s="363">
        <v>592</v>
      </c>
      <c r="H50" s="363">
        <v>8</v>
      </c>
      <c r="I50" s="374">
        <f t="shared" si="0"/>
        <v>8</v>
      </c>
      <c r="J50" s="363">
        <v>0</v>
      </c>
      <c r="K50" s="363">
        <v>0</v>
      </c>
      <c r="L50" s="363">
        <v>1172</v>
      </c>
      <c r="M50" s="374">
        <f t="shared" si="1"/>
        <v>931</v>
      </c>
      <c r="N50" s="297"/>
      <c r="P50" s="200" t="s">
        <v>660</v>
      </c>
      <c r="Q50" s="200" t="s">
        <v>661</v>
      </c>
      <c r="R50" s="149">
        <v>0</v>
      </c>
      <c r="S50" s="149">
        <v>0</v>
      </c>
      <c r="T50" s="149">
        <v>0</v>
      </c>
      <c r="U50" s="149">
        <v>0</v>
      </c>
      <c r="V50" s="149">
        <v>0</v>
      </c>
      <c r="W50" s="149">
        <v>0</v>
      </c>
      <c r="X50" s="149">
        <v>0</v>
      </c>
      <c r="Y50" s="149">
        <v>0</v>
      </c>
      <c r="Z50" s="149"/>
      <c r="AB50" s="200" t="s">
        <v>660</v>
      </c>
      <c r="AC50" s="200" t="s">
        <v>661</v>
      </c>
      <c r="AD50" s="149">
        <v>1869</v>
      </c>
      <c r="AE50" s="149">
        <v>93</v>
      </c>
      <c r="AF50" s="149"/>
      <c r="AG50" s="149">
        <v>3</v>
      </c>
      <c r="AH50" s="149">
        <v>592</v>
      </c>
      <c r="AI50" s="149">
        <v>8</v>
      </c>
      <c r="AJ50" s="149">
        <v>0</v>
      </c>
      <c r="AK50" s="149">
        <v>0</v>
      </c>
      <c r="AL50" s="149">
        <v>1172</v>
      </c>
      <c r="AO50" s="200" t="s">
        <v>660</v>
      </c>
      <c r="AP50" s="200" t="s">
        <v>661</v>
      </c>
      <c r="AQ50" s="149">
        <v>940</v>
      </c>
      <c r="AR50" s="149">
        <v>105</v>
      </c>
      <c r="AS50" s="149"/>
      <c r="AT50" s="149">
        <v>1</v>
      </c>
      <c r="AU50" s="149">
        <v>592</v>
      </c>
      <c r="AV50" s="149">
        <v>1</v>
      </c>
      <c r="AW50" s="149">
        <v>0</v>
      </c>
      <c r="AX50" s="149">
        <v>0</v>
      </c>
      <c r="AY50" s="149">
        <v>241</v>
      </c>
      <c r="BB50" s="200" t="s">
        <v>660</v>
      </c>
      <c r="BC50" s="200" t="s">
        <v>661</v>
      </c>
      <c r="BD50" s="149">
        <v>987</v>
      </c>
      <c r="BE50" s="149">
        <v>0</v>
      </c>
      <c r="BF50" s="149">
        <v>698</v>
      </c>
      <c r="BG50" s="149">
        <v>289</v>
      </c>
      <c r="BH50" s="149">
        <v>0</v>
      </c>
      <c r="BI50" s="149">
        <v>0</v>
      </c>
      <c r="BJ50" s="149">
        <v>0</v>
      </c>
      <c r="BK50" s="298"/>
      <c r="BL50" s="298"/>
      <c r="BM50" s="200" t="s">
        <v>660</v>
      </c>
      <c r="BN50" s="200" t="s">
        <v>661</v>
      </c>
      <c r="BO50" s="298">
        <f t="shared" si="3"/>
        <v>928</v>
      </c>
      <c r="BP50" s="298">
        <f t="shared" si="4"/>
        <v>93</v>
      </c>
      <c r="BQ50" s="298">
        <f>S50+AF50+BJ50</f>
        <v>0</v>
      </c>
      <c r="BR50" s="384">
        <f>T50+AT50+BX50</f>
        <v>242</v>
      </c>
      <c r="BS50" s="298">
        <f t="shared" si="7"/>
        <v>592</v>
      </c>
      <c r="BT50" s="384">
        <f>V50+Y50+AV50</f>
        <v>1</v>
      </c>
      <c r="BU50" s="298">
        <f t="shared" si="9"/>
        <v>0</v>
      </c>
      <c r="BV50" s="298">
        <f t="shared" si="10"/>
        <v>0</v>
      </c>
      <c r="BW50" s="149">
        <f>BI50</f>
        <v>0</v>
      </c>
      <c r="BX50" s="314">
        <v>241</v>
      </c>
      <c r="BZ50" s="200" t="s">
        <v>660</v>
      </c>
      <c r="CA50" s="200" t="s">
        <v>661</v>
      </c>
      <c r="CB50" s="298">
        <f t="shared" si="12"/>
        <v>928</v>
      </c>
      <c r="CC50" s="410">
        <f t="shared" si="13"/>
        <v>93</v>
      </c>
      <c r="CD50" s="410">
        <f>S50+AF50</f>
        <v>0</v>
      </c>
      <c r="CE50" s="410">
        <f t="shared" si="15"/>
        <v>242</v>
      </c>
      <c r="CF50" s="410">
        <f t="shared" si="16"/>
        <v>592</v>
      </c>
      <c r="CG50" s="410">
        <f t="shared" si="17"/>
        <v>1</v>
      </c>
      <c r="CH50" s="410">
        <f t="shared" si="18"/>
        <v>0</v>
      </c>
      <c r="CI50" s="410">
        <f t="shared" si="19"/>
        <v>0</v>
      </c>
      <c r="CJ50" s="410">
        <f t="shared" si="20"/>
        <v>0</v>
      </c>
      <c r="CK50" s="412">
        <f t="shared" si="21"/>
        <v>241</v>
      </c>
      <c r="CM50" s="200" t="s">
        <v>660</v>
      </c>
      <c r="CN50" s="200" t="s">
        <v>661</v>
      </c>
      <c r="CO50" s="237">
        <f t="shared" si="22"/>
        <v>0.10128792839991269</v>
      </c>
      <c r="CP50" s="237">
        <f t="shared" si="23"/>
        <v>8.1866197183098594E-2</v>
      </c>
      <c r="CQ50" s="237">
        <f t="shared" si="24"/>
        <v>0</v>
      </c>
      <c r="CR50" s="237">
        <f t="shared" si="25"/>
        <v>0.40672268907563025</v>
      </c>
      <c r="CS50" s="237">
        <f t="shared" si="26"/>
        <v>0.17174354511169132</v>
      </c>
      <c r="CT50" s="237">
        <f t="shared" si="27"/>
        <v>3.2743942370661429E-4</v>
      </c>
      <c r="CU50" s="237">
        <f t="shared" si="28"/>
        <v>0</v>
      </c>
      <c r="CV50" s="237">
        <f t="shared" si="29"/>
        <v>0</v>
      </c>
      <c r="CW50" s="237">
        <f t="shared" si="30"/>
        <v>0</v>
      </c>
      <c r="CX50" s="237">
        <f t="shared" si="31"/>
        <v>0</v>
      </c>
      <c r="CZ50" s="449" t="s">
        <v>660</v>
      </c>
      <c r="DA50" s="449" t="s">
        <v>661</v>
      </c>
      <c r="DB50" s="452">
        <f t="shared" si="32"/>
        <v>0</v>
      </c>
      <c r="DC50" s="452">
        <v>0</v>
      </c>
      <c r="DD50" s="452">
        <f>(T50)/CE50</f>
        <v>0</v>
      </c>
      <c r="DE50" s="452">
        <f t="shared" si="35"/>
        <v>0</v>
      </c>
      <c r="DF50" s="452">
        <f>(V50+Y50)/CG50</f>
        <v>0</v>
      </c>
      <c r="DG50" s="452">
        <v>0</v>
      </c>
      <c r="DH50" s="452">
        <v>0</v>
      </c>
      <c r="DI50" s="452">
        <v>0</v>
      </c>
      <c r="DJ50" s="452">
        <v>0</v>
      </c>
    </row>
    <row r="51" spans="1:116" s="237" customFormat="1" ht="35.65">
      <c r="A51" s="373" t="s">
        <v>662</v>
      </c>
      <c r="B51" s="373" t="s">
        <v>663</v>
      </c>
      <c r="C51" s="363">
        <v>175</v>
      </c>
      <c r="D51" s="363">
        <v>1</v>
      </c>
      <c r="E51" s="363">
        <v>1</v>
      </c>
      <c r="F51" s="363">
        <f>2+BX51</f>
        <v>6</v>
      </c>
      <c r="G51" s="363">
        <v>18</v>
      </c>
      <c r="H51" s="363"/>
      <c r="I51" s="374">
        <f t="shared" si="0"/>
        <v>150</v>
      </c>
      <c r="J51" s="363">
        <v>0</v>
      </c>
      <c r="K51" s="363">
        <v>0</v>
      </c>
      <c r="L51" s="363">
        <v>153</v>
      </c>
      <c r="M51" s="374">
        <f t="shared" si="1"/>
        <v>-1</v>
      </c>
      <c r="N51" s="297"/>
      <c r="P51" s="200" t="s">
        <v>662</v>
      </c>
      <c r="Q51" s="200" t="s">
        <v>663</v>
      </c>
      <c r="R51" s="149">
        <v>150</v>
      </c>
      <c r="S51" s="149">
        <v>0</v>
      </c>
      <c r="T51" s="149"/>
      <c r="U51" s="149"/>
      <c r="V51" s="149"/>
      <c r="W51" s="149">
        <v>0</v>
      </c>
      <c r="X51" s="149">
        <v>0</v>
      </c>
      <c r="Y51" s="149">
        <v>150</v>
      </c>
      <c r="Z51" s="149"/>
      <c r="AB51" s="200" t="s">
        <v>662</v>
      </c>
      <c r="AC51" s="200" t="s">
        <v>663</v>
      </c>
      <c r="AD51" s="149">
        <v>26</v>
      </c>
      <c r="AE51" s="149">
        <v>1</v>
      </c>
      <c r="AF51" s="149">
        <v>1</v>
      </c>
      <c r="AG51" s="149">
        <v>2</v>
      </c>
      <c r="AH51" s="149">
        <v>18</v>
      </c>
      <c r="AI51" s="149"/>
      <c r="AJ51" s="149">
        <v>0</v>
      </c>
      <c r="AK51" s="149">
        <v>0</v>
      </c>
      <c r="AL51" s="149">
        <v>4</v>
      </c>
      <c r="AO51" s="200" t="s">
        <v>662</v>
      </c>
      <c r="AP51" s="200" t="s">
        <v>663</v>
      </c>
      <c r="AQ51" s="149">
        <v>26</v>
      </c>
      <c r="AR51" s="149">
        <v>1</v>
      </c>
      <c r="AS51" s="149">
        <v>1</v>
      </c>
      <c r="AT51" s="149">
        <v>2</v>
      </c>
      <c r="AU51" s="149">
        <v>18</v>
      </c>
      <c r="AV51" s="149"/>
      <c r="AW51" s="149">
        <v>0</v>
      </c>
      <c r="AX51" s="149">
        <v>0</v>
      </c>
      <c r="AY51" s="382">
        <v>0</v>
      </c>
      <c r="BB51" s="200" t="s">
        <v>662</v>
      </c>
      <c r="BC51" s="200" t="s">
        <v>663</v>
      </c>
      <c r="BD51" s="149">
        <v>4</v>
      </c>
      <c r="BE51" s="149">
        <v>0</v>
      </c>
      <c r="BF51" s="149"/>
      <c r="BG51" s="149">
        <v>0</v>
      </c>
      <c r="BH51" s="149">
        <v>0</v>
      </c>
      <c r="BI51" s="149">
        <v>0</v>
      </c>
      <c r="BJ51" s="149">
        <v>4</v>
      </c>
      <c r="BK51" s="298"/>
      <c r="BL51" s="298"/>
      <c r="BM51" s="200" t="s">
        <v>662</v>
      </c>
      <c r="BN51" s="200" t="s">
        <v>663</v>
      </c>
      <c r="BO51" s="298">
        <f t="shared" si="3"/>
        <v>180</v>
      </c>
      <c r="BP51" s="298">
        <f t="shared" si="4"/>
        <v>1</v>
      </c>
      <c r="BQ51" s="298">
        <f>S51+AS51+BJ51</f>
        <v>5</v>
      </c>
      <c r="BR51" s="298">
        <f t="shared" si="6"/>
        <v>6</v>
      </c>
      <c r="BS51" s="298">
        <f t="shared" si="7"/>
        <v>18</v>
      </c>
      <c r="BT51" s="298">
        <f>V51+Y51+AI51</f>
        <v>150</v>
      </c>
      <c r="BU51" s="298">
        <f t="shared" si="9"/>
        <v>0</v>
      </c>
      <c r="BV51" s="298">
        <f t="shared" si="10"/>
        <v>0</v>
      </c>
      <c r="BW51" s="149">
        <f t="shared" ref="BW51:BW53" si="41">BI51</f>
        <v>0</v>
      </c>
      <c r="BX51" s="314">
        <v>4</v>
      </c>
      <c r="BZ51" s="200" t="s">
        <v>662</v>
      </c>
      <c r="CA51" s="200" t="s">
        <v>663</v>
      </c>
      <c r="CB51" s="298">
        <f t="shared" si="12"/>
        <v>176</v>
      </c>
      <c r="CC51" s="410">
        <f t="shared" si="13"/>
        <v>1</v>
      </c>
      <c r="CD51" s="410">
        <f t="shared" si="14"/>
        <v>1</v>
      </c>
      <c r="CE51" s="410">
        <f t="shared" si="15"/>
        <v>6</v>
      </c>
      <c r="CF51" s="410">
        <f t="shared" si="16"/>
        <v>18</v>
      </c>
      <c r="CG51" s="410">
        <f t="shared" si="17"/>
        <v>150</v>
      </c>
      <c r="CH51" s="410">
        <f t="shared" si="18"/>
        <v>0</v>
      </c>
      <c r="CI51" s="410">
        <f t="shared" si="19"/>
        <v>0</v>
      </c>
      <c r="CJ51" s="410">
        <f t="shared" si="20"/>
        <v>0</v>
      </c>
      <c r="CK51" s="412">
        <f t="shared" si="21"/>
        <v>4</v>
      </c>
      <c r="CM51" s="200" t="s">
        <v>662</v>
      </c>
      <c r="CN51" s="200" t="s">
        <v>663</v>
      </c>
      <c r="CO51" s="237">
        <f t="shared" si="22"/>
        <v>1.9209779524121371E-2</v>
      </c>
      <c r="CP51" s="237">
        <f t="shared" si="23"/>
        <v>8.8028169014084509E-4</v>
      </c>
      <c r="CQ51" s="237">
        <f t="shared" si="24"/>
        <v>1.1904761904761904E-2</v>
      </c>
      <c r="CR51" s="237">
        <f t="shared" si="25"/>
        <v>1.0084033613445379E-2</v>
      </c>
      <c r="CS51" s="237">
        <f t="shared" si="26"/>
        <v>5.2219321148825066E-3</v>
      </c>
      <c r="CT51" s="237">
        <f t="shared" si="27"/>
        <v>4.9115913555992138E-2</v>
      </c>
      <c r="CU51" s="237">
        <f t="shared" si="28"/>
        <v>0</v>
      </c>
      <c r="CV51" s="237">
        <f t="shared" si="29"/>
        <v>0</v>
      </c>
      <c r="CW51" s="237">
        <f t="shared" si="30"/>
        <v>0</v>
      </c>
      <c r="CX51" s="237">
        <f t="shared" si="31"/>
        <v>0</v>
      </c>
      <c r="CZ51" s="449" t="s">
        <v>662</v>
      </c>
      <c r="DA51" s="449" t="s">
        <v>663</v>
      </c>
      <c r="DB51" s="452">
        <f>R51/CB51</f>
        <v>0.85227272727272729</v>
      </c>
      <c r="DC51" s="452">
        <f t="shared" si="33"/>
        <v>0</v>
      </c>
      <c r="DD51" s="452">
        <f t="shared" ref="DD51:DD53" si="42">(T51)/CE51</f>
        <v>0</v>
      </c>
      <c r="DE51" s="452">
        <f t="shared" si="35"/>
        <v>0</v>
      </c>
      <c r="DF51" s="452">
        <f>(V51+Y51)/CG51</f>
        <v>1</v>
      </c>
      <c r="DG51" s="452">
        <v>0</v>
      </c>
      <c r="DH51" s="452">
        <v>0</v>
      </c>
      <c r="DI51" s="452">
        <v>0</v>
      </c>
      <c r="DJ51" s="452">
        <v>0</v>
      </c>
    </row>
    <row r="52" spans="1:116" s="237" customFormat="1" ht="47.25">
      <c r="A52" s="373" t="s">
        <v>664</v>
      </c>
      <c r="B52" s="373" t="s">
        <v>665</v>
      </c>
      <c r="C52" s="363">
        <v>82</v>
      </c>
      <c r="D52" s="363">
        <v>1</v>
      </c>
      <c r="E52" s="363">
        <v>0</v>
      </c>
      <c r="F52" s="363"/>
      <c r="G52" s="363">
        <v>5</v>
      </c>
      <c r="H52" s="363"/>
      <c r="I52" s="374">
        <f t="shared" si="0"/>
        <v>75</v>
      </c>
      <c r="J52" s="363" t="s">
        <v>631</v>
      </c>
      <c r="K52" s="363">
        <v>0</v>
      </c>
      <c r="L52" s="363">
        <v>76</v>
      </c>
      <c r="M52" s="374">
        <f t="shared" si="1"/>
        <v>1</v>
      </c>
      <c r="N52" s="297"/>
      <c r="P52" s="200" t="s">
        <v>664</v>
      </c>
      <c r="Q52" s="200" t="s">
        <v>665</v>
      </c>
      <c r="R52" s="149">
        <v>76</v>
      </c>
      <c r="S52" s="149">
        <v>0</v>
      </c>
      <c r="T52" s="149"/>
      <c r="U52" s="149">
        <v>0</v>
      </c>
      <c r="V52" s="149"/>
      <c r="W52" s="149"/>
      <c r="X52" s="149">
        <v>0</v>
      </c>
      <c r="Y52" s="149">
        <v>75</v>
      </c>
      <c r="Z52" s="149"/>
      <c r="AB52" s="200" t="s">
        <v>664</v>
      </c>
      <c r="AC52" s="200" t="s">
        <v>665</v>
      </c>
      <c r="AD52" s="149">
        <v>6</v>
      </c>
      <c r="AE52" s="149">
        <v>1</v>
      </c>
      <c r="AF52" s="149">
        <v>0</v>
      </c>
      <c r="AG52" s="149"/>
      <c r="AH52" s="149">
        <v>5</v>
      </c>
      <c r="AI52" s="149"/>
      <c r="AJ52" s="149">
        <v>0</v>
      </c>
      <c r="AK52" s="149">
        <v>0</v>
      </c>
      <c r="AL52" s="149"/>
      <c r="AO52" s="200" t="s">
        <v>664</v>
      </c>
      <c r="AP52" s="200" t="s">
        <v>665</v>
      </c>
      <c r="AQ52" s="149">
        <v>6</v>
      </c>
      <c r="AR52" s="149">
        <v>1</v>
      </c>
      <c r="AS52" s="149">
        <v>0</v>
      </c>
      <c r="AT52" s="149"/>
      <c r="AU52" s="149">
        <v>5</v>
      </c>
      <c r="AV52" s="149"/>
      <c r="AW52" s="149">
        <v>0</v>
      </c>
      <c r="AX52" s="149">
        <v>0</v>
      </c>
      <c r="AY52" s="149"/>
      <c r="BB52" s="200" t="s">
        <v>664</v>
      </c>
      <c r="BC52" s="200" t="s">
        <v>665</v>
      </c>
      <c r="BD52" s="149">
        <v>0</v>
      </c>
      <c r="BE52" s="149">
        <v>0</v>
      </c>
      <c r="BF52" s="149">
        <v>0</v>
      </c>
      <c r="BG52" s="149">
        <v>0</v>
      </c>
      <c r="BH52" s="149">
        <v>0</v>
      </c>
      <c r="BI52" s="149">
        <v>0</v>
      </c>
      <c r="BJ52" s="149">
        <v>0</v>
      </c>
      <c r="BK52" s="298"/>
      <c r="BL52" s="298"/>
      <c r="BM52" s="200" t="s">
        <v>664</v>
      </c>
      <c r="BN52" s="200" t="s">
        <v>665</v>
      </c>
      <c r="BO52" s="298">
        <f t="shared" si="3"/>
        <v>81</v>
      </c>
      <c r="BP52" s="298">
        <f t="shared" si="4"/>
        <v>1</v>
      </c>
      <c r="BQ52" s="298">
        <f t="shared" si="5"/>
        <v>0</v>
      </c>
      <c r="BR52" s="298">
        <f t="shared" si="6"/>
        <v>0</v>
      </c>
      <c r="BS52" s="298">
        <f t="shared" si="7"/>
        <v>5</v>
      </c>
      <c r="BT52" s="298">
        <f t="shared" si="8"/>
        <v>75</v>
      </c>
      <c r="BU52" s="298">
        <f t="shared" si="9"/>
        <v>0</v>
      </c>
      <c r="BV52" s="298">
        <f t="shared" si="10"/>
        <v>0</v>
      </c>
      <c r="BW52" s="149">
        <f t="shared" si="41"/>
        <v>0</v>
      </c>
      <c r="BX52" s="314"/>
      <c r="BZ52" s="200" t="s">
        <v>664</v>
      </c>
      <c r="CA52" s="200" t="s">
        <v>665</v>
      </c>
      <c r="CB52" s="298">
        <f t="shared" si="12"/>
        <v>81</v>
      </c>
      <c r="CC52" s="410">
        <f t="shared" si="13"/>
        <v>1</v>
      </c>
      <c r="CD52" s="410">
        <f t="shared" si="14"/>
        <v>0</v>
      </c>
      <c r="CE52" s="410">
        <f t="shared" si="15"/>
        <v>0</v>
      </c>
      <c r="CF52" s="410">
        <f t="shared" si="16"/>
        <v>5</v>
      </c>
      <c r="CG52" s="410">
        <f t="shared" si="17"/>
        <v>75</v>
      </c>
      <c r="CH52" s="410">
        <f t="shared" si="18"/>
        <v>0</v>
      </c>
      <c r="CI52" s="410">
        <f t="shared" si="19"/>
        <v>0</v>
      </c>
      <c r="CJ52" s="410">
        <f t="shared" si="20"/>
        <v>0</v>
      </c>
      <c r="CK52" s="412">
        <f t="shared" si="21"/>
        <v>0</v>
      </c>
      <c r="CM52" s="200" t="s">
        <v>664</v>
      </c>
      <c r="CN52" s="200" t="s">
        <v>665</v>
      </c>
      <c r="CO52" s="237">
        <f t="shared" si="22"/>
        <v>8.840864440078585E-3</v>
      </c>
      <c r="CP52" s="237">
        <f t="shared" si="23"/>
        <v>8.8028169014084509E-4</v>
      </c>
      <c r="CQ52" s="237">
        <f t="shared" si="24"/>
        <v>0</v>
      </c>
      <c r="CR52" s="237">
        <f t="shared" si="25"/>
        <v>0</v>
      </c>
      <c r="CS52" s="237">
        <f t="shared" si="26"/>
        <v>1.450536698578474E-3</v>
      </c>
      <c r="CT52" s="237">
        <f t="shared" si="27"/>
        <v>2.4557956777996069E-2</v>
      </c>
      <c r="CU52" s="237">
        <f t="shared" si="28"/>
        <v>0</v>
      </c>
      <c r="CV52" s="237">
        <f t="shared" si="29"/>
        <v>0</v>
      </c>
      <c r="CW52" s="237">
        <f t="shared" si="30"/>
        <v>0</v>
      </c>
      <c r="CX52" s="237">
        <f t="shared" si="31"/>
        <v>0</v>
      </c>
      <c r="CZ52" s="449" t="s">
        <v>664</v>
      </c>
      <c r="DA52" s="449" t="s">
        <v>665</v>
      </c>
      <c r="DB52" s="452">
        <f t="shared" si="32"/>
        <v>0.93827160493827155</v>
      </c>
      <c r="DC52" s="452">
        <v>0</v>
      </c>
      <c r="DD52" s="452">
        <v>0</v>
      </c>
      <c r="DE52" s="452">
        <f t="shared" si="35"/>
        <v>0</v>
      </c>
      <c r="DF52" s="452">
        <f t="shared" si="36"/>
        <v>1</v>
      </c>
      <c r="DG52" s="452">
        <v>0</v>
      </c>
      <c r="DH52" s="452">
        <v>0</v>
      </c>
      <c r="DI52" s="452">
        <v>0</v>
      </c>
      <c r="DJ52" s="452">
        <v>0</v>
      </c>
      <c r="DL52" s="237" t="s">
        <v>1293</v>
      </c>
    </row>
    <row r="53" spans="1:116" s="237" customFormat="1" ht="35.65">
      <c r="A53" s="373" t="s">
        <v>666</v>
      </c>
      <c r="B53" s="373" t="s">
        <v>667</v>
      </c>
      <c r="C53" s="363">
        <v>30</v>
      </c>
      <c r="D53" s="363">
        <v>1</v>
      </c>
      <c r="E53" s="363">
        <v>0</v>
      </c>
      <c r="F53" s="363">
        <f>BX53</f>
        <v>20</v>
      </c>
      <c r="G53" s="363">
        <v>2</v>
      </c>
      <c r="H53" s="363"/>
      <c r="I53" s="374">
        <f t="shared" si="0"/>
        <v>19</v>
      </c>
      <c r="J53" s="363">
        <v>64</v>
      </c>
      <c r="K53" s="363">
        <v>1</v>
      </c>
      <c r="L53" s="363">
        <v>39</v>
      </c>
      <c r="M53" s="374">
        <f t="shared" si="1"/>
        <v>0</v>
      </c>
      <c r="N53" s="297"/>
      <c r="P53" s="200" t="s">
        <v>666</v>
      </c>
      <c r="Q53" s="200" t="s">
        <v>667</v>
      </c>
      <c r="R53" s="149">
        <v>85</v>
      </c>
      <c r="S53" s="149">
        <v>0</v>
      </c>
      <c r="T53" s="149"/>
      <c r="U53" s="149">
        <v>0</v>
      </c>
      <c r="V53" s="149">
        <v>0</v>
      </c>
      <c r="W53" s="149">
        <v>64</v>
      </c>
      <c r="X53" s="149">
        <v>1</v>
      </c>
      <c r="Y53" s="149">
        <v>19</v>
      </c>
      <c r="Z53" s="149"/>
      <c r="AB53" s="200" t="s">
        <v>666</v>
      </c>
      <c r="AC53" s="200" t="s">
        <v>667</v>
      </c>
      <c r="AD53" s="149">
        <v>35</v>
      </c>
      <c r="AE53" s="149">
        <v>1</v>
      </c>
      <c r="AF53" s="149">
        <v>0</v>
      </c>
      <c r="AG53" s="149"/>
      <c r="AH53" s="149">
        <v>2</v>
      </c>
      <c r="AI53" s="149"/>
      <c r="AJ53" s="149">
        <v>0</v>
      </c>
      <c r="AK53" s="149">
        <v>0</v>
      </c>
      <c r="AL53" s="149">
        <v>33</v>
      </c>
      <c r="AO53" s="200" t="s">
        <v>666</v>
      </c>
      <c r="AP53" s="200" t="s">
        <v>667</v>
      </c>
      <c r="AQ53" s="149">
        <v>22</v>
      </c>
      <c r="AR53" s="149">
        <v>1</v>
      </c>
      <c r="AS53" s="149">
        <v>0</v>
      </c>
      <c r="AT53" s="149"/>
      <c r="AU53" s="149">
        <v>2</v>
      </c>
      <c r="AV53" s="149"/>
      <c r="AW53" s="149">
        <v>0</v>
      </c>
      <c r="AX53" s="149">
        <v>0</v>
      </c>
      <c r="AY53" s="149">
        <v>20</v>
      </c>
      <c r="BB53" s="200" t="s">
        <v>666</v>
      </c>
      <c r="BC53" s="200" t="s">
        <v>667</v>
      </c>
      <c r="BD53" s="149">
        <v>33</v>
      </c>
      <c r="BE53" s="149">
        <v>11</v>
      </c>
      <c r="BF53" s="149">
        <v>2</v>
      </c>
      <c r="BG53" s="149">
        <v>20</v>
      </c>
      <c r="BH53" s="149">
        <v>0</v>
      </c>
      <c r="BI53" s="149">
        <v>0</v>
      </c>
      <c r="BJ53" s="149">
        <v>0</v>
      </c>
      <c r="BK53" s="298"/>
      <c r="BL53" s="298"/>
      <c r="BM53" s="200" t="s">
        <v>666</v>
      </c>
      <c r="BN53" s="200" t="s">
        <v>667</v>
      </c>
      <c r="BO53" s="298">
        <f t="shared" si="3"/>
        <v>107</v>
      </c>
      <c r="BP53" s="298">
        <f t="shared" si="4"/>
        <v>1</v>
      </c>
      <c r="BQ53" s="298">
        <f t="shared" si="5"/>
        <v>0</v>
      </c>
      <c r="BR53" s="298">
        <f t="shared" si="6"/>
        <v>20</v>
      </c>
      <c r="BS53" s="298">
        <f t="shared" si="7"/>
        <v>2</v>
      </c>
      <c r="BT53" s="298">
        <f t="shared" si="8"/>
        <v>19</v>
      </c>
      <c r="BU53" s="298">
        <f t="shared" si="9"/>
        <v>64</v>
      </c>
      <c r="BV53" s="298">
        <f t="shared" si="10"/>
        <v>1</v>
      </c>
      <c r="BW53" s="149">
        <f t="shared" si="41"/>
        <v>0</v>
      </c>
      <c r="BX53" s="314">
        <v>20</v>
      </c>
      <c r="BZ53" s="200" t="s">
        <v>666</v>
      </c>
      <c r="CA53" s="200" t="s">
        <v>667</v>
      </c>
      <c r="CB53" s="298">
        <f t="shared" si="12"/>
        <v>107</v>
      </c>
      <c r="CC53" s="410">
        <f t="shared" si="13"/>
        <v>1</v>
      </c>
      <c r="CD53" s="410">
        <f t="shared" si="14"/>
        <v>0</v>
      </c>
      <c r="CE53" s="410">
        <f t="shared" si="15"/>
        <v>20</v>
      </c>
      <c r="CF53" s="410">
        <f t="shared" si="16"/>
        <v>2</v>
      </c>
      <c r="CG53" s="410">
        <f t="shared" si="17"/>
        <v>19</v>
      </c>
      <c r="CH53" s="410">
        <f t="shared" si="18"/>
        <v>64</v>
      </c>
      <c r="CI53" s="410">
        <f t="shared" si="19"/>
        <v>1</v>
      </c>
      <c r="CJ53" s="410">
        <f t="shared" si="20"/>
        <v>0</v>
      </c>
      <c r="CK53" s="412">
        <f t="shared" si="21"/>
        <v>20</v>
      </c>
      <c r="CM53" s="200" t="s">
        <v>666</v>
      </c>
      <c r="CN53" s="200" t="s">
        <v>667</v>
      </c>
      <c r="CO53" s="237">
        <f t="shared" si="22"/>
        <v>1.1678672778869243E-2</v>
      </c>
      <c r="CP53" s="237">
        <f t="shared" si="23"/>
        <v>8.8028169014084509E-4</v>
      </c>
      <c r="CQ53" s="237">
        <f t="shared" si="24"/>
        <v>0</v>
      </c>
      <c r="CR53" s="237">
        <f t="shared" si="25"/>
        <v>3.3613445378151259E-2</v>
      </c>
      <c r="CS53" s="237">
        <f t="shared" si="26"/>
        <v>5.8021467943138963E-4</v>
      </c>
      <c r="CT53" s="237">
        <f t="shared" si="27"/>
        <v>6.2213490504256716E-3</v>
      </c>
      <c r="CU53" s="237">
        <f t="shared" si="28"/>
        <v>0.16537467700258399</v>
      </c>
      <c r="CV53" s="237">
        <f t="shared" si="29"/>
        <v>3.0303030303030304E-2</v>
      </c>
      <c r="CW53" s="237">
        <f t="shared" si="30"/>
        <v>0.15476190476190477</v>
      </c>
      <c r="CX53" s="237">
        <f t="shared" si="31"/>
        <v>0</v>
      </c>
      <c r="CZ53" s="449" t="s">
        <v>666</v>
      </c>
      <c r="DA53" s="449" t="s">
        <v>667</v>
      </c>
      <c r="DB53" s="452">
        <f t="shared" si="32"/>
        <v>0.79439252336448596</v>
      </c>
      <c r="DC53" s="452">
        <v>0</v>
      </c>
      <c r="DD53" s="452">
        <f t="shared" si="42"/>
        <v>0</v>
      </c>
      <c r="DE53" s="452">
        <f t="shared" si="35"/>
        <v>0</v>
      </c>
      <c r="DF53" s="452">
        <f t="shared" si="36"/>
        <v>1</v>
      </c>
      <c r="DG53" s="452">
        <f t="shared" si="37"/>
        <v>1</v>
      </c>
      <c r="DH53" s="452">
        <f t="shared" si="38"/>
        <v>1</v>
      </c>
      <c r="DI53" s="452">
        <f t="shared" si="39"/>
        <v>1</v>
      </c>
      <c r="DJ53" s="452">
        <v>0</v>
      </c>
    </row>
    <row r="54" spans="1:116" s="300" customFormat="1">
      <c r="A54" s="375" t="s">
        <v>668</v>
      </c>
      <c r="B54" s="375" t="s">
        <v>569</v>
      </c>
      <c r="C54" s="364">
        <v>4900</v>
      </c>
      <c r="D54" s="364">
        <v>247</v>
      </c>
      <c r="E54" s="364">
        <v>56</v>
      </c>
      <c r="F54" s="364">
        <f>11+BX54</f>
        <v>11</v>
      </c>
      <c r="G54" s="364">
        <v>1816</v>
      </c>
      <c r="H54" s="364">
        <v>2157</v>
      </c>
      <c r="I54" s="376">
        <f t="shared" si="0"/>
        <v>2774</v>
      </c>
      <c r="J54" s="364">
        <v>85</v>
      </c>
      <c r="K54" s="364">
        <v>0</v>
      </c>
      <c r="L54" s="364">
        <v>922</v>
      </c>
      <c r="M54" s="376">
        <f t="shared" si="1"/>
        <v>305</v>
      </c>
      <c r="N54" s="299"/>
      <c r="P54" s="218" t="s">
        <v>668</v>
      </c>
      <c r="Q54" s="218" t="s">
        <v>569</v>
      </c>
      <c r="R54" s="219">
        <v>3272</v>
      </c>
      <c r="S54" s="219">
        <v>55</v>
      </c>
      <c r="T54" s="219">
        <v>4</v>
      </c>
      <c r="U54" s="219">
        <v>429</v>
      </c>
      <c r="V54" s="219">
        <v>2155</v>
      </c>
      <c r="W54" s="219">
        <v>12</v>
      </c>
      <c r="X54" s="219">
        <v>0</v>
      </c>
      <c r="Y54" s="219">
        <v>617</v>
      </c>
      <c r="Z54" s="219"/>
      <c r="AB54" s="218" t="s">
        <v>668</v>
      </c>
      <c r="AC54" s="218" t="s">
        <v>569</v>
      </c>
      <c r="AD54" s="219">
        <v>2405</v>
      </c>
      <c r="AE54" s="219">
        <v>247</v>
      </c>
      <c r="AF54" s="219">
        <v>2</v>
      </c>
      <c r="AG54" s="219">
        <v>7</v>
      </c>
      <c r="AH54" s="219">
        <v>1387</v>
      </c>
      <c r="AI54" s="219">
        <v>2</v>
      </c>
      <c r="AJ54" s="219">
        <v>73</v>
      </c>
      <c r="AK54" s="219">
        <v>0</v>
      </c>
      <c r="AL54" s="219">
        <v>687</v>
      </c>
      <c r="AO54" s="218" t="s">
        <v>668</v>
      </c>
      <c r="AP54" s="218" t="s">
        <v>569</v>
      </c>
      <c r="AQ54" s="219">
        <v>2053</v>
      </c>
      <c r="AR54" s="306">
        <f>SUM(AR55:AR68)+AZ54</f>
        <v>524.66666666666674</v>
      </c>
      <c r="AS54" s="219">
        <v>1</v>
      </c>
      <c r="AT54" s="219">
        <v>6</v>
      </c>
      <c r="AU54" s="306">
        <f>SUM(AU55:AU68)+(2*AZ54)</f>
        <v>1282.3333333333335</v>
      </c>
      <c r="AV54" s="219">
        <v>2</v>
      </c>
      <c r="AW54" s="219">
        <v>73</v>
      </c>
      <c r="AX54" s="219">
        <v>0</v>
      </c>
      <c r="AY54" s="379">
        <f>SUM(AY55:AY68)</f>
        <v>164</v>
      </c>
      <c r="AZ54" s="311">
        <f>1043/3</f>
        <v>347.66666666666669</v>
      </c>
      <c r="BB54" s="218" t="s">
        <v>668</v>
      </c>
      <c r="BC54" s="218" t="s">
        <v>569</v>
      </c>
      <c r="BD54" s="219">
        <v>359</v>
      </c>
      <c r="BE54" s="219">
        <v>0</v>
      </c>
      <c r="BF54" s="219">
        <v>352</v>
      </c>
      <c r="BG54" s="219"/>
      <c r="BH54" s="219">
        <v>0</v>
      </c>
      <c r="BI54" s="219"/>
      <c r="BJ54" s="219">
        <v>4</v>
      </c>
      <c r="BK54" s="301"/>
      <c r="BL54" s="301"/>
      <c r="BM54" s="218" t="s">
        <v>668</v>
      </c>
      <c r="BN54" s="218" t="s">
        <v>569</v>
      </c>
      <c r="BO54" s="301">
        <f t="shared" si="3"/>
        <v>4994</v>
      </c>
      <c r="BP54" s="301">
        <f t="shared" si="4"/>
        <v>247</v>
      </c>
      <c r="BQ54" s="301">
        <f t="shared" si="5"/>
        <v>61</v>
      </c>
      <c r="BR54" s="301">
        <f>T54+AG54+BX54</f>
        <v>11</v>
      </c>
      <c r="BS54" s="301">
        <f t="shared" si="7"/>
        <v>1816</v>
      </c>
      <c r="BT54" s="301">
        <f t="shared" si="8"/>
        <v>2774</v>
      </c>
      <c r="BU54" s="301">
        <f t="shared" si="9"/>
        <v>85</v>
      </c>
      <c r="BV54" s="301">
        <f t="shared" si="10"/>
        <v>0</v>
      </c>
      <c r="BW54" s="219">
        <f>BI54</f>
        <v>0</v>
      </c>
      <c r="BX54" s="315"/>
      <c r="BZ54" s="218" t="s">
        <v>668</v>
      </c>
      <c r="CA54" s="218" t="s">
        <v>569</v>
      </c>
      <c r="CB54" s="301">
        <f t="shared" si="12"/>
        <v>4990</v>
      </c>
      <c r="CC54" s="411">
        <f t="shared" si="13"/>
        <v>247</v>
      </c>
      <c r="CD54" s="411">
        <f t="shared" si="14"/>
        <v>57</v>
      </c>
      <c r="CE54" s="411">
        <f t="shared" si="15"/>
        <v>11</v>
      </c>
      <c r="CF54" s="411">
        <f t="shared" si="16"/>
        <v>1816</v>
      </c>
      <c r="CG54" s="411">
        <f t="shared" si="17"/>
        <v>2774</v>
      </c>
      <c r="CH54" s="411">
        <f t="shared" si="18"/>
        <v>85</v>
      </c>
      <c r="CI54" s="411">
        <f t="shared" si="19"/>
        <v>0</v>
      </c>
      <c r="CJ54" s="411">
        <f t="shared" si="20"/>
        <v>0</v>
      </c>
      <c r="CK54" s="413">
        <v>0</v>
      </c>
      <c r="CM54" s="218" t="s">
        <v>668</v>
      </c>
      <c r="CN54" s="218" t="s">
        <v>569</v>
      </c>
      <c r="CO54" s="300">
        <f t="shared" si="22"/>
        <v>0.54464090809866839</v>
      </c>
      <c r="CP54" s="300">
        <f t="shared" si="23"/>
        <v>0.21742957746478872</v>
      </c>
      <c r="CQ54" s="300">
        <f t="shared" si="24"/>
        <v>0.6785714285714286</v>
      </c>
      <c r="CR54" s="300">
        <f t="shared" si="25"/>
        <v>1.8487394957983194E-2</v>
      </c>
      <c r="CS54" s="300">
        <f t="shared" si="26"/>
        <v>0.52683492892370176</v>
      </c>
      <c r="CT54" s="300">
        <f t="shared" si="27"/>
        <v>0.90831696136214801</v>
      </c>
      <c r="CU54" s="300">
        <f t="shared" si="28"/>
        <v>0.21963824289405684</v>
      </c>
      <c r="CV54" s="300">
        <f t="shared" si="29"/>
        <v>0</v>
      </c>
      <c r="CW54" s="300">
        <f t="shared" si="30"/>
        <v>0.20238095238095238</v>
      </c>
      <c r="CX54" s="300">
        <f t="shared" si="31"/>
        <v>0</v>
      </c>
      <c r="CZ54" s="450" t="s">
        <v>668</v>
      </c>
      <c r="DA54" s="450" t="s">
        <v>569</v>
      </c>
      <c r="DB54" s="453">
        <f t="shared" si="32"/>
        <v>0.65571142284569139</v>
      </c>
      <c r="DC54" s="453">
        <f>S54/CD54</f>
        <v>0.96491228070175439</v>
      </c>
      <c r="DD54" s="453">
        <f>(T54)/CE54</f>
        <v>0.36363636363636365</v>
      </c>
      <c r="DE54" s="453">
        <f t="shared" si="35"/>
        <v>0.23623348017621146</v>
      </c>
      <c r="DF54" s="453">
        <f t="shared" si="36"/>
        <v>0.99927901946647435</v>
      </c>
      <c r="DG54" s="453">
        <f t="shared" si="37"/>
        <v>0.14117647058823529</v>
      </c>
      <c r="DH54" s="453">
        <v>0</v>
      </c>
      <c r="DI54" s="453">
        <f t="shared" si="39"/>
        <v>0.14117647058823529</v>
      </c>
      <c r="DJ54" s="453">
        <v>0</v>
      </c>
    </row>
    <row r="55" spans="1:116" ht="24">
      <c r="A55" s="371" t="s">
        <v>670</v>
      </c>
      <c r="B55" s="371" t="s">
        <v>671</v>
      </c>
      <c r="C55" s="362">
        <v>1110</v>
      </c>
      <c r="D55" s="362">
        <v>20</v>
      </c>
      <c r="E55" s="362" t="s">
        <v>669</v>
      </c>
      <c r="F55" s="362">
        <v>1</v>
      </c>
      <c r="G55" s="362">
        <v>309</v>
      </c>
      <c r="H55" s="362">
        <v>923</v>
      </c>
      <c r="I55" s="372" t="e">
        <f t="shared" si="0"/>
        <v>#VALUE!</v>
      </c>
      <c r="J55" s="362">
        <v>0</v>
      </c>
      <c r="K55" s="362">
        <v>0</v>
      </c>
      <c r="L55" s="362" t="s">
        <v>669</v>
      </c>
      <c r="M55" s="372" t="e">
        <f t="shared" si="1"/>
        <v>#VALUE!</v>
      </c>
      <c r="N55" s="262"/>
      <c r="P55" s="258" t="s">
        <v>670</v>
      </c>
      <c r="Q55" s="258" t="s">
        <v>671</v>
      </c>
      <c r="R55" s="125">
        <v>998</v>
      </c>
      <c r="S55" s="125" t="s">
        <v>669</v>
      </c>
      <c r="T55" s="125" t="s">
        <v>611</v>
      </c>
      <c r="U55" s="125" t="s">
        <v>611</v>
      </c>
      <c r="V55" s="125">
        <v>922</v>
      </c>
      <c r="W55" s="125">
        <v>0</v>
      </c>
      <c r="X55" s="125">
        <v>0</v>
      </c>
      <c r="Y55" s="125" t="s">
        <v>669</v>
      </c>
      <c r="Z55" s="125"/>
      <c r="AB55" s="258" t="s">
        <v>670</v>
      </c>
      <c r="AC55" s="258" t="s">
        <v>671</v>
      </c>
      <c r="AD55" s="125">
        <v>536</v>
      </c>
      <c r="AE55" s="125">
        <v>20</v>
      </c>
      <c r="AF55" s="125">
        <v>0</v>
      </c>
      <c r="AG55" s="125">
        <v>1</v>
      </c>
      <c r="AH55" s="125">
        <v>309</v>
      </c>
      <c r="AI55" s="125">
        <v>1</v>
      </c>
      <c r="AJ55" s="125">
        <v>0</v>
      </c>
      <c r="AK55" s="125">
        <v>0</v>
      </c>
      <c r="AL55" s="125">
        <v>207</v>
      </c>
      <c r="AO55" s="258" t="s">
        <v>670</v>
      </c>
      <c r="AP55" s="258" t="s">
        <v>671</v>
      </c>
      <c r="AQ55" s="125">
        <v>384</v>
      </c>
      <c r="AR55" s="306"/>
      <c r="AS55" s="125">
        <v>0</v>
      </c>
      <c r="AT55" s="125" t="s">
        <v>611</v>
      </c>
      <c r="AU55" s="306"/>
      <c r="AV55" s="125">
        <v>1</v>
      </c>
      <c r="AW55" s="125">
        <v>0</v>
      </c>
      <c r="AX55" s="125">
        <v>0</v>
      </c>
      <c r="AY55" s="306"/>
      <c r="BB55" s="258" t="s">
        <v>670</v>
      </c>
      <c r="BC55" s="258" t="s">
        <v>671</v>
      </c>
      <c r="BD55" s="125">
        <v>140</v>
      </c>
      <c r="BE55" s="125">
        <v>0</v>
      </c>
      <c r="BF55" s="125">
        <v>140</v>
      </c>
      <c r="BG55" s="125">
        <v>0</v>
      </c>
      <c r="BH55" s="125">
        <v>0</v>
      </c>
      <c r="BI55" s="125">
        <v>0</v>
      </c>
      <c r="BJ55" s="125" t="s">
        <v>611</v>
      </c>
      <c r="BK55" s="261"/>
      <c r="BL55" s="261"/>
      <c r="BM55" s="258" t="s">
        <v>670</v>
      </c>
      <c r="BN55" s="258" t="s">
        <v>671</v>
      </c>
      <c r="BO55" s="261" t="e">
        <f t="shared" si="3"/>
        <v>#VALUE!</v>
      </c>
      <c r="BP55" s="261">
        <f t="shared" si="4"/>
        <v>20</v>
      </c>
      <c r="BQ55" s="261" t="e">
        <f t="shared" si="5"/>
        <v>#VALUE!</v>
      </c>
      <c r="BR55" s="261" t="e">
        <f t="shared" si="6"/>
        <v>#VALUE!</v>
      </c>
      <c r="BS55" s="261" t="e">
        <f t="shared" si="7"/>
        <v>#VALUE!</v>
      </c>
      <c r="BT55" s="261" t="e">
        <f t="shared" si="8"/>
        <v>#VALUE!</v>
      </c>
      <c r="BU55" s="261">
        <f t="shared" si="9"/>
        <v>0</v>
      </c>
      <c r="BV55" s="261">
        <f t="shared" si="10"/>
        <v>0</v>
      </c>
      <c r="BW55" s="125">
        <f>BI55</f>
        <v>0</v>
      </c>
      <c r="BZ55" s="258" t="s">
        <v>670</v>
      </c>
      <c r="CA55" s="258" t="s">
        <v>671</v>
      </c>
      <c r="CB55" s="261" t="e">
        <f t="shared" si="12"/>
        <v>#VALUE!</v>
      </c>
      <c r="CC55" s="409">
        <f t="shared" si="13"/>
        <v>20</v>
      </c>
      <c r="CD55" s="409" t="e">
        <f t="shared" si="14"/>
        <v>#VALUE!</v>
      </c>
      <c r="CE55" s="409" t="e">
        <f t="shared" si="15"/>
        <v>#VALUE!</v>
      </c>
      <c r="CF55" s="409" t="e">
        <f t="shared" si="16"/>
        <v>#VALUE!</v>
      </c>
      <c r="CG55" s="409" t="e">
        <f t="shared" si="17"/>
        <v>#VALUE!</v>
      </c>
      <c r="CH55" s="409">
        <f t="shared" si="18"/>
        <v>0</v>
      </c>
      <c r="CI55" s="409">
        <f t="shared" si="19"/>
        <v>0</v>
      </c>
      <c r="CJ55" s="409">
        <f t="shared" si="20"/>
        <v>0</v>
      </c>
      <c r="CK55" s="372">
        <f t="shared" si="21"/>
        <v>0</v>
      </c>
      <c r="CM55" s="258" t="s">
        <v>670</v>
      </c>
      <c r="CN55" s="258" t="s">
        <v>671</v>
      </c>
      <c r="CO55" s="5" t="e">
        <f t="shared" si="22"/>
        <v>#VALUE!</v>
      </c>
      <c r="CP55" s="5">
        <f t="shared" si="23"/>
        <v>1.7605633802816902E-2</v>
      </c>
      <c r="CQ55" s="5" t="e">
        <f t="shared" si="24"/>
        <v>#VALUE!</v>
      </c>
      <c r="CR55" s="5" t="e">
        <f t="shared" si="25"/>
        <v>#VALUE!</v>
      </c>
      <c r="CS55" s="5" t="e">
        <f t="shared" si="26"/>
        <v>#VALUE!</v>
      </c>
      <c r="CT55" s="5" t="e">
        <f t="shared" si="27"/>
        <v>#VALUE!</v>
      </c>
      <c r="CU55" s="5">
        <f t="shared" si="28"/>
        <v>0</v>
      </c>
      <c r="CV55" s="5">
        <f t="shared" si="29"/>
        <v>0</v>
      </c>
      <c r="CW55" s="5">
        <f t="shared" si="30"/>
        <v>0</v>
      </c>
      <c r="CX55" s="5">
        <f t="shared" si="31"/>
        <v>0</v>
      </c>
      <c r="CZ55" s="447" t="s">
        <v>670</v>
      </c>
      <c r="DA55" s="447" t="s">
        <v>671</v>
      </c>
      <c r="DB55" s="18" t="e">
        <f t="shared" si="32"/>
        <v>#VALUE!</v>
      </c>
      <c r="DC55" s="18" t="e">
        <f t="shared" si="33"/>
        <v>#VALUE!</v>
      </c>
      <c r="DD55" s="18" t="e">
        <f t="shared" ref="DD55:DD104" si="43">(T55)/CE55</f>
        <v>#VALUE!</v>
      </c>
      <c r="DE55" s="18" t="e">
        <f t="shared" si="35"/>
        <v>#VALUE!</v>
      </c>
      <c r="DF55" s="18" t="e">
        <f t="shared" si="36"/>
        <v>#VALUE!</v>
      </c>
      <c r="DG55" s="18" t="e">
        <f t="shared" si="37"/>
        <v>#DIV/0!</v>
      </c>
      <c r="DH55" s="18" t="e">
        <f t="shared" si="38"/>
        <v>#DIV/0!</v>
      </c>
      <c r="DI55" s="18" t="e">
        <f t="shared" si="39"/>
        <v>#DIV/0!</v>
      </c>
      <c r="DJ55" s="18" t="e">
        <f t="shared" si="40"/>
        <v>#DIV/0!</v>
      </c>
    </row>
    <row r="56" spans="1:116" ht="24">
      <c r="A56" s="371" t="s">
        <v>672</v>
      </c>
      <c r="B56" s="371" t="s">
        <v>673</v>
      </c>
      <c r="C56" s="362">
        <v>140</v>
      </c>
      <c r="D56" s="362">
        <v>31</v>
      </c>
      <c r="E56" s="362">
        <v>0</v>
      </c>
      <c r="F56" s="362" t="s">
        <v>611</v>
      </c>
      <c r="G56" s="362">
        <v>118</v>
      </c>
      <c r="H56" s="362" t="s">
        <v>611</v>
      </c>
      <c r="I56" s="372" t="e">
        <f t="shared" ref="I56:I87" si="44">H56+Y56</f>
        <v>#VALUE!</v>
      </c>
      <c r="J56" s="362">
        <v>0</v>
      </c>
      <c r="K56" s="362">
        <v>0</v>
      </c>
      <c r="L56" s="362">
        <v>1</v>
      </c>
      <c r="M56" s="372" t="e">
        <f t="shared" ref="M56:M87" si="45">L56-Y56-BX56</f>
        <v>#VALUE!</v>
      </c>
      <c r="N56" s="262"/>
      <c r="P56" s="258" t="s">
        <v>672</v>
      </c>
      <c r="Q56" s="258" t="s">
        <v>673</v>
      </c>
      <c r="R56" s="125">
        <v>82</v>
      </c>
      <c r="S56" s="125">
        <v>0</v>
      </c>
      <c r="T56" s="125">
        <v>0</v>
      </c>
      <c r="U56" s="125">
        <v>82</v>
      </c>
      <c r="V56" s="125" t="s">
        <v>611</v>
      </c>
      <c r="W56" s="125">
        <v>0</v>
      </c>
      <c r="X56" s="125">
        <v>0</v>
      </c>
      <c r="Y56" s="125" t="s">
        <v>611</v>
      </c>
      <c r="Z56" s="125"/>
      <c r="AB56" s="258" t="s">
        <v>672</v>
      </c>
      <c r="AC56" s="258" t="s">
        <v>673</v>
      </c>
      <c r="AD56" s="125">
        <v>69</v>
      </c>
      <c r="AE56" s="125">
        <v>31</v>
      </c>
      <c r="AF56" s="125">
        <v>0</v>
      </c>
      <c r="AG56" s="125" t="s">
        <v>611</v>
      </c>
      <c r="AH56" s="125">
        <v>36</v>
      </c>
      <c r="AI56" s="125" t="s">
        <v>611</v>
      </c>
      <c r="AJ56" s="125">
        <v>0</v>
      </c>
      <c r="AK56" s="125">
        <v>0</v>
      </c>
      <c r="AL56" s="125">
        <v>1</v>
      </c>
      <c r="AO56" s="258" t="s">
        <v>672</v>
      </c>
      <c r="AP56" s="258" t="s">
        <v>673</v>
      </c>
      <c r="AQ56" s="125">
        <v>69</v>
      </c>
      <c r="AR56" s="125">
        <v>31</v>
      </c>
      <c r="AS56" s="125">
        <v>0</v>
      </c>
      <c r="AT56" s="125" t="s">
        <v>611</v>
      </c>
      <c r="AU56" s="125">
        <v>36</v>
      </c>
      <c r="AV56" s="125" t="s">
        <v>611</v>
      </c>
      <c r="AW56" s="125">
        <v>0</v>
      </c>
      <c r="AX56" s="125">
        <v>0</v>
      </c>
      <c r="AY56" s="125">
        <v>1</v>
      </c>
      <c r="BB56" s="258" t="s">
        <v>672</v>
      </c>
      <c r="BC56" s="258" t="s">
        <v>673</v>
      </c>
      <c r="BD56" s="125">
        <v>0</v>
      </c>
      <c r="BE56" s="125">
        <v>0</v>
      </c>
      <c r="BF56" s="125">
        <v>0</v>
      </c>
      <c r="BG56" s="125">
        <v>0</v>
      </c>
      <c r="BH56" s="125">
        <v>0</v>
      </c>
      <c r="BI56" s="125">
        <v>0</v>
      </c>
      <c r="BJ56" s="125">
        <v>0</v>
      </c>
      <c r="BK56" s="261"/>
      <c r="BL56" s="261"/>
      <c r="BM56" s="258" t="s">
        <v>672</v>
      </c>
      <c r="BN56" s="258" t="s">
        <v>673</v>
      </c>
      <c r="BO56" s="261" t="e">
        <f t="shared" si="3"/>
        <v>#VALUE!</v>
      </c>
      <c r="BP56" s="261">
        <f t="shared" si="4"/>
        <v>31</v>
      </c>
      <c r="BQ56" s="261">
        <f t="shared" si="5"/>
        <v>0</v>
      </c>
      <c r="BR56" s="261" t="e">
        <f t="shared" si="6"/>
        <v>#VALUE!</v>
      </c>
      <c r="BS56" s="261">
        <f t="shared" si="7"/>
        <v>118</v>
      </c>
      <c r="BT56" s="261" t="e">
        <f t="shared" si="8"/>
        <v>#VALUE!</v>
      </c>
      <c r="BU56" s="261">
        <f t="shared" si="9"/>
        <v>0</v>
      </c>
      <c r="BV56" s="261">
        <f t="shared" si="10"/>
        <v>0</v>
      </c>
      <c r="BW56" s="125">
        <f t="shared" ref="BW56:BW68" si="46">BI56</f>
        <v>0</v>
      </c>
      <c r="BZ56" s="258" t="s">
        <v>672</v>
      </c>
      <c r="CA56" s="258" t="s">
        <v>673</v>
      </c>
      <c r="CB56" s="261" t="e">
        <f t="shared" si="12"/>
        <v>#VALUE!</v>
      </c>
      <c r="CC56" s="409">
        <f t="shared" si="13"/>
        <v>31</v>
      </c>
      <c r="CD56" s="409">
        <f t="shared" si="14"/>
        <v>0</v>
      </c>
      <c r="CE56" s="409" t="e">
        <f t="shared" si="15"/>
        <v>#VALUE!</v>
      </c>
      <c r="CF56" s="409">
        <f t="shared" si="16"/>
        <v>118</v>
      </c>
      <c r="CG56" s="409" t="e">
        <f t="shared" si="17"/>
        <v>#VALUE!</v>
      </c>
      <c r="CH56" s="409">
        <f t="shared" si="18"/>
        <v>0</v>
      </c>
      <c r="CI56" s="409">
        <f t="shared" si="19"/>
        <v>0</v>
      </c>
      <c r="CJ56" s="409">
        <f t="shared" si="20"/>
        <v>0</v>
      </c>
      <c r="CK56" s="372">
        <f t="shared" si="21"/>
        <v>0</v>
      </c>
      <c r="CM56" s="258" t="s">
        <v>672</v>
      </c>
      <c r="CN56" s="258" t="s">
        <v>673</v>
      </c>
      <c r="CO56" s="5" t="e">
        <f t="shared" si="22"/>
        <v>#VALUE!</v>
      </c>
      <c r="CP56" s="5">
        <f t="shared" si="23"/>
        <v>2.7288732394366196E-2</v>
      </c>
      <c r="CQ56" s="5">
        <f t="shared" si="24"/>
        <v>0</v>
      </c>
      <c r="CR56" s="5" t="e">
        <f t="shared" si="25"/>
        <v>#VALUE!</v>
      </c>
      <c r="CS56" s="5">
        <f t="shared" si="26"/>
        <v>3.4232666086451986E-2</v>
      </c>
      <c r="CT56" s="5" t="e">
        <f t="shared" si="27"/>
        <v>#VALUE!</v>
      </c>
      <c r="CU56" s="5">
        <f t="shared" si="28"/>
        <v>0</v>
      </c>
      <c r="CV56" s="5">
        <f t="shared" si="29"/>
        <v>0</v>
      </c>
      <c r="CW56" s="5">
        <f t="shared" si="30"/>
        <v>0</v>
      </c>
      <c r="CX56" s="5">
        <f t="shared" si="31"/>
        <v>0</v>
      </c>
      <c r="CZ56" s="447" t="s">
        <v>672</v>
      </c>
      <c r="DA56" s="447" t="s">
        <v>673</v>
      </c>
      <c r="DB56" s="18" t="e">
        <f t="shared" si="32"/>
        <v>#VALUE!</v>
      </c>
      <c r="DC56" s="18" t="e">
        <f t="shared" si="33"/>
        <v>#DIV/0!</v>
      </c>
      <c r="DD56" s="18" t="e">
        <f t="shared" si="43"/>
        <v>#VALUE!</v>
      </c>
      <c r="DE56" s="18">
        <f t="shared" si="35"/>
        <v>0.69491525423728817</v>
      </c>
      <c r="DF56" s="18" t="e">
        <f t="shared" si="36"/>
        <v>#VALUE!</v>
      </c>
      <c r="DG56" s="18" t="e">
        <f t="shared" si="37"/>
        <v>#DIV/0!</v>
      </c>
      <c r="DH56" s="18" t="e">
        <f t="shared" si="38"/>
        <v>#DIV/0!</v>
      </c>
      <c r="DI56" s="18" t="e">
        <f t="shared" si="39"/>
        <v>#DIV/0!</v>
      </c>
      <c r="DJ56" s="18" t="e">
        <f t="shared" si="40"/>
        <v>#DIV/0!</v>
      </c>
    </row>
    <row r="57" spans="1:116" ht="35.65">
      <c r="A57" s="371" t="s">
        <v>674</v>
      </c>
      <c r="B57" s="371" t="s">
        <v>675</v>
      </c>
      <c r="C57" s="362">
        <v>240</v>
      </c>
      <c r="D57" s="362">
        <v>45</v>
      </c>
      <c r="E57" s="362" t="s">
        <v>669</v>
      </c>
      <c r="F57" s="362" t="s">
        <v>611</v>
      </c>
      <c r="G57" s="362">
        <v>123</v>
      </c>
      <c r="H57" s="362">
        <v>2</v>
      </c>
      <c r="I57" s="372" t="e">
        <f t="shared" si="44"/>
        <v>#VALUE!</v>
      </c>
      <c r="J57" s="362">
        <v>9</v>
      </c>
      <c r="K57" s="362">
        <v>0</v>
      </c>
      <c r="L57" s="362" t="s">
        <v>669</v>
      </c>
      <c r="M57" s="372" t="e">
        <f t="shared" si="45"/>
        <v>#VALUE!</v>
      </c>
      <c r="N57" s="262"/>
      <c r="P57" s="258" t="s">
        <v>674</v>
      </c>
      <c r="Q57" s="258" t="s">
        <v>675</v>
      </c>
      <c r="R57" s="125">
        <v>52</v>
      </c>
      <c r="S57" s="125" t="s">
        <v>669</v>
      </c>
      <c r="T57" s="125" t="s">
        <v>611</v>
      </c>
      <c r="U57" s="125">
        <v>9</v>
      </c>
      <c r="V57" s="125">
        <v>1</v>
      </c>
      <c r="W57" s="125" t="s">
        <v>611</v>
      </c>
      <c r="X57" s="125">
        <v>0</v>
      </c>
      <c r="Y57" s="125" t="s">
        <v>669</v>
      </c>
      <c r="Z57" s="125"/>
      <c r="AB57" s="258" t="s">
        <v>674</v>
      </c>
      <c r="AC57" s="258" t="s">
        <v>675</v>
      </c>
      <c r="AD57" s="125">
        <v>223</v>
      </c>
      <c r="AE57" s="125">
        <v>45</v>
      </c>
      <c r="AF57" s="125">
        <v>0</v>
      </c>
      <c r="AG57" s="125" t="s">
        <v>611</v>
      </c>
      <c r="AH57" s="125">
        <v>114</v>
      </c>
      <c r="AI57" s="125" t="s">
        <v>611</v>
      </c>
      <c r="AJ57" s="125">
        <v>9</v>
      </c>
      <c r="AK57" s="125">
        <v>0</v>
      </c>
      <c r="AL57" s="125">
        <v>55</v>
      </c>
      <c r="AO57" s="258" t="s">
        <v>674</v>
      </c>
      <c r="AP57" s="258" t="s">
        <v>675</v>
      </c>
      <c r="AQ57" s="125">
        <v>189</v>
      </c>
      <c r="AR57" s="125">
        <v>47</v>
      </c>
      <c r="AS57" s="125">
        <v>0</v>
      </c>
      <c r="AT57" s="125" t="s">
        <v>611</v>
      </c>
      <c r="AU57" s="306"/>
      <c r="AV57" s="125" t="s">
        <v>611</v>
      </c>
      <c r="AW57" s="125">
        <v>9</v>
      </c>
      <c r="AX57" s="125">
        <v>0</v>
      </c>
      <c r="AY57" s="306"/>
      <c r="BB57" s="258" t="s">
        <v>674</v>
      </c>
      <c r="BC57" s="258" t="s">
        <v>675</v>
      </c>
      <c r="BD57" s="125">
        <v>33</v>
      </c>
      <c r="BE57" s="125">
        <v>0</v>
      </c>
      <c r="BF57" s="125">
        <v>33</v>
      </c>
      <c r="BG57" s="125">
        <v>0</v>
      </c>
      <c r="BH57" s="125">
        <v>0</v>
      </c>
      <c r="BI57" s="125" t="s">
        <v>611</v>
      </c>
      <c r="BJ57" s="125">
        <v>0</v>
      </c>
      <c r="BK57" s="261"/>
      <c r="BL57" s="261"/>
      <c r="BM57" s="258" t="s">
        <v>674</v>
      </c>
      <c r="BN57" s="258" t="s">
        <v>675</v>
      </c>
      <c r="BO57" s="261" t="e">
        <f t="shared" si="3"/>
        <v>#VALUE!</v>
      </c>
      <c r="BP57" s="261">
        <f t="shared" si="4"/>
        <v>45</v>
      </c>
      <c r="BQ57" s="261" t="e">
        <f t="shared" si="5"/>
        <v>#VALUE!</v>
      </c>
      <c r="BR57" s="261" t="e">
        <f t="shared" si="6"/>
        <v>#VALUE!</v>
      </c>
      <c r="BS57" s="261">
        <f t="shared" si="7"/>
        <v>123</v>
      </c>
      <c r="BT57" s="261" t="e">
        <f t="shared" si="8"/>
        <v>#VALUE!</v>
      </c>
      <c r="BU57" s="261" t="e">
        <f t="shared" si="9"/>
        <v>#VALUE!</v>
      </c>
      <c r="BV57" s="261">
        <f t="shared" si="10"/>
        <v>0</v>
      </c>
      <c r="BW57" s="125" t="str">
        <f t="shared" si="46"/>
        <v>*</v>
      </c>
      <c r="BZ57" s="258" t="s">
        <v>674</v>
      </c>
      <c r="CA57" s="258" t="s">
        <v>675</v>
      </c>
      <c r="CB57" s="261" t="e">
        <f t="shared" si="12"/>
        <v>#VALUE!</v>
      </c>
      <c r="CC57" s="409">
        <f t="shared" si="13"/>
        <v>45</v>
      </c>
      <c r="CD57" s="409" t="e">
        <f t="shared" si="14"/>
        <v>#VALUE!</v>
      </c>
      <c r="CE57" s="409" t="e">
        <f t="shared" si="15"/>
        <v>#VALUE!</v>
      </c>
      <c r="CF57" s="409">
        <f t="shared" si="16"/>
        <v>123</v>
      </c>
      <c r="CG57" s="409" t="e">
        <f t="shared" si="17"/>
        <v>#VALUE!</v>
      </c>
      <c r="CH57" s="409" t="e">
        <f t="shared" si="18"/>
        <v>#VALUE!</v>
      </c>
      <c r="CI57" s="409">
        <f t="shared" si="19"/>
        <v>0</v>
      </c>
      <c r="CJ57" s="409" t="str">
        <f t="shared" si="20"/>
        <v>*</v>
      </c>
      <c r="CK57" s="372">
        <f t="shared" si="21"/>
        <v>0</v>
      </c>
      <c r="CM57" s="258" t="s">
        <v>674</v>
      </c>
      <c r="CN57" s="258" t="s">
        <v>675</v>
      </c>
      <c r="CO57" s="5" t="e">
        <f t="shared" si="22"/>
        <v>#VALUE!</v>
      </c>
      <c r="CP57" s="5">
        <f t="shared" si="23"/>
        <v>3.9612676056338031E-2</v>
      </c>
      <c r="CQ57" s="5" t="e">
        <f t="shared" si="24"/>
        <v>#VALUE!</v>
      </c>
      <c r="CR57" s="5" t="e">
        <f t="shared" si="25"/>
        <v>#VALUE!</v>
      </c>
      <c r="CS57" s="5">
        <f t="shared" si="26"/>
        <v>3.5683202785030461E-2</v>
      </c>
      <c r="CT57" s="5" t="e">
        <f t="shared" si="27"/>
        <v>#VALUE!</v>
      </c>
      <c r="CU57" s="5" t="e">
        <f t="shared" si="28"/>
        <v>#VALUE!</v>
      </c>
      <c r="CV57" s="5">
        <f t="shared" si="29"/>
        <v>0</v>
      </c>
      <c r="CW57" s="5" t="e">
        <f t="shared" si="30"/>
        <v>#VALUE!</v>
      </c>
      <c r="CX57" s="5" t="e">
        <f t="shared" si="31"/>
        <v>#VALUE!</v>
      </c>
      <c r="CZ57" s="447" t="s">
        <v>674</v>
      </c>
      <c r="DA57" s="447" t="s">
        <v>675</v>
      </c>
      <c r="DB57" s="18" t="e">
        <f t="shared" si="32"/>
        <v>#VALUE!</v>
      </c>
      <c r="DC57" s="18" t="e">
        <f t="shared" si="33"/>
        <v>#VALUE!</v>
      </c>
      <c r="DD57" s="18" t="e">
        <f t="shared" si="43"/>
        <v>#VALUE!</v>
      </c>
      <c r="DE57" s="18">
        <f t="shared" si="35"/>
        <v>7.3170731707317069E-2</v>
      </c>
      <c r="DF57" s="18" t="e">
        <f t="shared" si="36"/>
        <v>#VALUE!</v>
      </c>
      <c r="DG57" s="18" t="e">
        <f t="shared" si="37"/>
        <v>#VALUE!</v>
      </c>
      <c r="DH57" s="18" t="e">
        <f t="shared" si="38"/>
        <v>#DIV/0!</v>
      </c>
      <c r="DI57" s="18" t="e">
        <f t="shared" si="39"/>
        <v>#VALUE!</v>
      </c>
      <c r="DJ57" s="18" t="e">
        <f t="shared" si="40"/>
        <v>#VALUE!</v>
      </c>
    </row>
    <row r="58" spans="1:116">
      <c r="A58" s="371" t="s">
        <v>676</v>
      </c>
      <c r="B58" s="371" t="s">
        <v>677</v>
      </c>
      <c r="C58" s="362">
        <v>13</v>
      </c>
      <c r="D58" s="362">
        <v>1</v>
      </c>
      <c r="E58" s="362">
        <v>0</v>
      </c>
      <c r="F58" s="362" t="s">
        <v>611</v>
      </c>
      <c r="G58" s="362">
        <v>12</v>
      </c>
      <c r="H58" s="362" t="s">
        <v>611</v>
      </c>
      <c r="I58" s="372" t="e">
        <f t="shared" si="44"/>
        <v>#VALUE!</v>
      </c>
      <c r="J58" s="362">
        <v>0</v>
      </c>
      <c r="K58" s="362">
        <v>0</v>
      </c>
      <c r="L58" s="362" t="s">
        <v>611</v>
      </c>
      <c r="M58" s="372" t="e">
        <f t="shared" si="45"/>
        <v>#VALUE!</v>
      </c>
      <c r="N58" s="262"/>
      <c r="P58" s="258" t="s">
        <v>676</v>
      </c>
      <c r="Q58" s="258" t="s">
        <v>677</v>
      </c>
      <c r="R58" s="125" t="s">
        <v>611</v>
      </c>
      <c r="S58" s="125">
        <v>0</v>
      </c>
      <c r="T58" s="125">
        <v>0</v>
      </c>
      <c r="U58" s="125">
        <v>0</v>
      </c>
      <c r="V58" s="125" t="s">
        <v>611</v>
      </c>
      <c r="W58" s="125">
        <v>0</v>
      </c>
      <c r="X58" s="125">
        <v>0</v>
      </c>
      <c r="Y58" s="125">
        <v>0</v>
      </c>
      <c r="Z58" s="125"/>
      <c r="AB58" s="258" t="s">
        <v>676</v>
      </c>
      <c r="AC58" s="258" t="s">
        <v>677</v>
      </c>
      <c r="AD58" s="125">
        <v>13</v>
      </c>
      <c r="AE58" s="125">
        <v>1</v>
      </c>
      <c r="AF58" s="125">
        <v>0</v>
      </c>
      <c r="AG58" s="125" t="s">
        <v>611</v>
      </c>
      <c r="AH58" s="125">
        <v>12</v>
      </c>
      <c r="AI58" s="125" t="s">
        <v>611</v>
      </c>
      <c r="AJ58" s="125">
        <v>0</v>
      </c>
      <c r="AK58" s="125">
        <v>0</v>
      </c>
      <c r="AL58" s="125" t="s">
        <v>611</v>
      </c>
      <c r="AO58" s="258" t="s">
        <v>676</v>
      </c>
      <c r="AP58" s="258" t="s">
        <v>677</v>
      </c>
      <c r="AQ58" s="125">
        <v>13</v>
      </c>
      <c r="AR58" s="125">
        <v>1</v>
      </c>
      <c r="AS58" s="125">
        <v>0</v>
      </c>
      <c r="AT58" s="125" t="s">
        <v>611</v>
      </c>
      <c r="AU58" s="125">
        <v>12</v>
      </c>
      <c r="AV58" s="125" t="s">
        <v>611</v>
      </c>
      <c r="AW58" s="125">
        <v>0</v>
      </c>
      <c r="AX58" s="125">
        <v>0</v>
      </c>
      <c r="AY58" s="125"/>
      <c r="BB58" s="258" t="s">
        <v>676</v>
      </c>
      <c r="BC58" s="258" t="s">
        <v>677</v>
      </c>
      <c r="BD58" s="125">
        <v>0</v>
      </c>
      <c r="BE58" s="125">
        <v>0</v>
      </c>
      <c r="BF58" s="125">
        <v>0</v>
      </c>
      <c r="BG58" s="125">
        <v>0</v>
      </c>
      <c r="BH58" s="125">
        <v>0</v>
      </c>
      <c r="BI58" s="125">
        <v>0</v>
      </c>
      <c r="BJ58" s="125">
        <v>0</v>
      </c>
      <c r="BK58" s="261"/>
      <c r="BL58" s="261"/>
      <c r="BM58" s="258" t="s">
        <v>676</v>
      </c>
      <c r="BN58" s="258" t="s">
        <v>677</v>
      </c>
      <c r="BO58" s="261" t="e">
        <f t="shared" si="3"/>
        <v>#VALUE!</v>
      </c>
      <c r="BP58" s="261">
        <f t="shared" si="4"/>
        <v>1</v>
      </c>
      <c r="BQ58" s="261">
        <f t="shared" si="5"/>
        <v>0</v>
      </c>
      <c r="BR58" s="261" t="e">
        <f t="shared" si="6"/>
        <v>#VALUE!</v>
      </c>
      <c r="BS58" s="261">
        <f t="shared" si="7"/>
        <v>12</v>
      </c>
      <c r="BT58" s="261" t="e">
        <f t="shared" si="8"/>
        <v>#VALUE!</v>
      </c>
      <c r="BU58" s="261">
        <f t="shared" si="9"/>
        <v>0</v>
      </c>
      <c r="BV58" s="261">
        <f t="shared" si="10"/>
        <v>0</v>
      </c>
      <c r="BW58" s="125">
        <f t="shared" si="46"/>
        <v>0</v>
      </c>
      <c r="BZ58" s="258" t="s">
        <v>676</v>
      </c>
      <c r="CA58" s="258" t="s">
        <v>677</v>
      </c>
      <c r="CB58" s="261" t="e">
        <f t="shared" si="12"/>
        <v>#VALUE!</v>
      </c>
      <c r="CC58" s="409">
        <f t="shared" si="13"/>
        <v>1</v>
      </c>
      <c r="CD58" s="409">
        <f t="shared" si="14"/>
        <v>0</v>
      </c>
      <c r="CE58" s="409" t="e">
        <f t="shared" si="15"/>
        <v>#VALUE!</v>
      </c>
      <c r="CF58" s="409">
        <f t="shared" si="16"/>
        <v>12</v>
      </c>
      <c r="CG58" s="409" t="e">
        <f t="shared" si="17"/>
        <v>#VALUE!</v>
      </c>
      <c r="CH58" s="409">
        <f t="shared" si="18"/>
        <v>0</v>
      </c>
      <c r="CI58" s="409">
        <f t="shared" si="19"/>
        <v>0</v>
      </c>
      <c r="CJ58" s="409">
        <f t="shared" si="20"/>
        <v>0</v>
      </c>
      <c r="CK58" s="372">
        <f t="shared" si="21"/>
        <v>0</v>
      </c>
      <c r="CM58" s="258" t="s">
        <v>676</v>
      </c>
      <c r="CN58" s="258" t="s">
        <v>677</v>
      </c>
      <c r="CO58" s="5" t="e">
        <f t="shared" si="22"/>
        <v>#VALUE!</v>
      </c>
      <c r="CP58" s="5">
        <f t="shared" si="23"/>
        <v>8.8028169014084509E-4</v>
      </c>
      <c r="CQ58" s="5">
        <f t="shared" si="24"/>
        <v>0</v>
      </c>
      <c r="CR58" s="5" t="e">
        <f t="shared" si="25"/>
        <v>#VALUE!</v>
      </c>
      <c r="CS58" s="5">
        <f t="shared" si="26"/>
        <v>3.4812880765883376E-3</v>
      </c>
      <c r="CT58" s="5" t="e">
        <f t="shared" si="27"/>
        <v>#VALUE!</v>
      </c>
      <c r="CU58" s="5">
        <f t="shared" si="28"/>
        <v>0</v>
      </c>
      <c r="CV58" s="5">
        <f t="shared" si="29"/>
        <v>0</v>
      </c>
      <c r="CW58" s="5">
        <f t="shared" si="30"/>
        <v>0</v>
      </c>
      <c r="CX58" s="5">
        <f t="shared" si="31"/>
        <v>0</v>
      </c>
      <c r="CZ58" s="447" t="s">
        <v>676</v>
      </c>
      <c r="DA58" s="447" t="s">
        <v>677</v>
      </c>
      <c r="DB58" s="18" t="e">
        <f t="shared" si="32"/>
        <v>#VALUE!</v>
      </c>
      <c r="DC58" s="18" t="e">
        <f t="shared" si="33"/>
        <v>#DIV/0!</v>
      </c>
      <c r="DD58" s="18" t="e">
        <f t="shared" si="43"/>
        <v>#VALUE!</v>
      </c>
      <c r="DE58" s="18">
        <f t="shared" si="35"/>
        <v>0</v>
      </c>
      <c r="DF58" s="18" t="e">
        <f t="shared" si="36"/>
        <v>#VALUE!</v>
      </c>
      <c r="DG58" s="18" t="e">
        <f t="shared" si="37"/>
        <v>#DIV/0!</v>
      </c>
      <c r="DH58" s="18" t="e">
        <f t="shared" si="38"/>
        <v>#DIV/0!</v>
      </c>
      <c r="DI58" s="18" t="e">
        <f t="shared" si="39"/>
        <v>#DIV/0!</v>
      </c>
      <c r="DJ58" s="18" t="e">
        <f t="shared" si="40"/>
        <v>#DIV/0!</v>
      </c>
    </row>
    <row r="59" spans="1:116" ht="58.9">
      <c r="A59" s="371" t="s">
        <v>678</v>
      </c>
      <c r="B59" s="371" t="s">
        <v>679</v>
      </c>
      <c r="C59" s="362">
        <v>28</v>
      </c>
      <c r="D59" s="362">
        <v>8</v>
      </c>
      <c r="E59" s="362">
        <v>0</v>
      </c>
      <c r="F59" s="362" t="s">
        <v>611</v>
      </c>
      <c r="G59" s="362">
        <v>13</v>
      </c>
      <c r="H59" s="362" t="s">
        <v>611</v>
      </c>
      <c r="I59" s="372" t="e">
        <f t="shared" si="44"/>
        <v>#VALUE!</v>
      </c>
      <c r="J59" s="362">
        <v>0</v>
      </c>
      <c r="K59" s="362">
        <v>0</v>
      </c>
      <c r="L59" s="362">
        <v>7</v>
      </c>
      <c r="M59" s="372" t="e">
        <f t="shared" si="45"/>
        <v>#VALUE!</v>
      </c>
      <c r="N59" s="262"/>
      <c r="P59" s="258" t="s">
        <v>678</v>
      </c>
      <c r="Q59" s="258" t="s">
        <v>679</v>
      </c>
      <c r="R59" s="125">
        <v>1</v>
      </c>
      <c r="S59" s="125">
        <v>0</v>
      </c>
      <c r="T59" s="125">
        <v>0</v>
      </c>
      <c r="U59" s="125">
        <v>1</v>
      </c>
      <c r="V59" s="125">
        <v>0</v>
      </c>
      <c r="W59" s="125">
        <v>0</v>
      </c>
      <c r="X59" s="125">
        <v>0</v>
      </c>
      <c r="Y59" s="125" t="s">
        <v>611</v>
      </c>
      <c r="Z59" s="125"/>
      <c r="AB59" s="258" t="s">
        <v>678</v>
      </c>
      <c r="AC59" s="258" t="s">
        <v>679</v>
      </c>
      <c r="AD59" s="125">
        <v>27</v>
      </c>
      <c r="AE59" s="125">
        <v>8</v>
      </c>
      <c r="AF59" s="125">
        <v>0</v>
      </c>
      <c r="AG59" s="125" t="s">
        <v>611</v>
      </c>
      <c r="AH59" s="125">
        <v>12</v>
      </c>
      <c r="AI59" s="125" t="s">
        <v>611</v>
      </c>
      <c r="AJ59" s="125">
        <v>0</v>
      </c>
      <c r="AK59" s="125">
        <v>0</v>
      </c>
      <c r="AL59" s="125">
        <v>7</v>
      </c>
      <c r="AO59" s="258" t="s">
        <v>678</v>
      </c>
      <c r="AP59" s="258" t="s">
        <v>679</v>
      </c>
      <c r="AQ59" s="125">
        <v>25</v>
      </c>
      <c r="AR59" s="125">
        <v>8</v>
      </c>
      <c r="AS59" s="125">
        <v>0</v>
      </c>
      <c r="AT59" s="125" t="s">
        <v>611</v>
      </c>
      <c r="AU59" s="125">
        <v>12</v>
      </c>
      <c r="AV59" s="125" t="s">
        <v>611</v>
      </c>
      <c r="AW59" s="125">
        <v>0</v>
      </c>
      <c r="AX59" s="125">
        <v>0</v>
      </c>
      <c r="AY59" s="125">
        <v>5</v>
      </c>
      <c r="BB59" s="258" t="s">
        <v>678</v>
      </c>
      <c r="BC59" s="258" t="s">
        <v>679</v>
      </c>
      <c r="BD59" s="125" t="s">
        <v>669</v>
      </c>
      <c r="BE59" s="125">
        <v>0</v>
      </c>
      <c r="BF59" s="125" t="s">
        <v>611</v>
      </c>
      <c r="BG59" s="125">
        <v>0</v>
      </c>
      <c r="BH59" s="125">
        <v>0</v>
      </c>
      <c r="BI59" s="125" t="s">
        <v>669</v>
      </c>
      <c r="BJ59" s="125" t="s">
        <v>611</v>
      </c>
      <c r="BK59" s="261"/>
      <c r="BL59" s="261"/>
      <c r="BM59" s="258" t="s">
        <v>678</v>
      </c>
      <c r="BN59" s="258" t="s">
        <v>679</v>
      </c>
      <c r="BO59" s="261" t="e">
        <f t="shared" si="3"/>
        <v>#VALUE!</v>
      </c>
      <c r="BP59" s="261">
        <f t="shared" si="4"/>
        <v>8</v>
      </c>
      <c r="BQ59" s="261" t="e">
        <f t="shared" si="5"/>
        <v>#VALUE!</v>
      </c>
      <c r="BR59" s="261" t="e">
        <f t="shared" si="6"/>
        <v>#VALUE!</v>
      </c>
      <c r="BS59" s="261">
        <f t="shared" si="7"/>
        <v>13</v>
      </c>
      <c r="BT59" s="261" t="e">
        <f t="shared" si="8"/>
        <v>#VALUE!</v>
      </c>
      <c r="BU59" s="261">
        <f t="shared" si="9"/>
        <v>0</v>
      </c>
      <c r="BV59" s="261">
        <f t="shared" si="10"/>
        <v>0</v>
      </c>
      <c r="BW59" s="125" t="str">
        <f t="shared" si="46"/>
        <v>W</v>
      </c>
      <c r="BZ59" s="258" t="s">
        <v>678</v>
      </c>
      <c r="CA59" s="258" t="s">
        <v>679</v>
      </c>
      <c r="CB59" s="261" t="e">
        <f t="shared" si="12"/>
        <v>#VALUE!</v>
      </c>
      <c r="CC59" s="409">
        <f t="shared" si="13"/>
        <v>8</v>
      </c>
      <c r="CD59" s="409">
        <f t="shared" si="14"/>
        <v>0</v>
      </c>
      <c r="CE59" s="409" t="e">
        <f t="shared" si="15"/>
        <v>#VALUE!</v>
      </c>
      <c r="CF59" s="409">
        <f t="shared" si="16"/>
        <v>13</v>
      </c>
      <c r="CG59" s="409" t="e">
        <f t="shared" si="17"/>
        <v>#VALUE!</v>
      </c>
      <c r="CH59" s="409">
        <f t="shared" si="18"/>
        <v>0</v>
      </c>
      <c r="CI59" s="409">
        <f t="shared" si="19"/>
        <v>0</v>
      </c>
      <c r="CJ59" s="409" t="str">
        <f t="shared" si="20"/>
        <v>W</v>
      </c>
      <c r="CK59" s="372">
        <f t="shared" si="21"/>
        <v>0</v>
      </c>
      <c r="CM59" s="258" t="s">
        <v>678</v>
      </c>
      <c r="CN59" s="258" t="s">
        <v>679</v>
      </c>
      <c r="CO59" s="5" t="e">
        <f t="shared" si="22"/>
        <v>#VALUE!</v>
      </c>
      <c r="CP59" s="5">
        <f t="shared" si="23"/>
        <v>7.0422535211267607E-3</v>
      </c>
      <c r="CQ59" s="5">
        <f t="shared" si="24"/>
        <v>0</v>
      </c>
      <c r="CR59" s="5" t="e">
        <f t="shared" si="25"/>
        <v>#VALUE!</v>
      </c>
      <c r="CS59" s="5">
        <f t="shared" si="26"/>
        <v>3.7713954163040323E-3</v>
      </c>
      <c r="CT59" s="5" t="e">
        <f t="shared" si="27"/>
        <v>#VALUE!</v>
      </c>
      <c r="CU59" s="5">
        <f t="shared" si="28"/>
        <v>0</v>
      </c>
      <c r="CV59" s="5">
        <f t="shared" si="29"/>
        <v>0</v>
      </c>
      <c r="CW59" s="5">
        <f t="shared" si="30"/>
        <v>0</v>
      </c>
      <c r="CX59" s="5" t="e">
        <f t="shared" si="31"/>
        <v>#VALUE!</v>
      </c>
      <c r="CZ59" s="447" t="s">
        <v>678</v>
      </c>
      <c r="DA59" s="447" t="s">
        <v>679</v>
      </c>
      <c r="DB59" s="18" t="e">
        <f t="shared" si="32"/>
        <v>#VALUE!</v>
      </c>
      <c r="DC59" s="18" t="e">
        <f t="shared" si="33"/>
        <v>#DIV/0!</v>
      </c>
      <c r="DD59" s="18" t="e">
        <f t="shared" si="43"/>
        <v>#VALUE!</v>
      </c>
      <c r="DE59" s="18">
        <f t="shared" si="35"/>
        <v>7.6923076923076927E-2</v>
      </c>
      <c r="DF59" s="18" t="e">
        <f t="shared" si="36"/>
        <v>#VALUE!</v>
      </c>
      <c r="DG59" s="18" t="e">
        <f t="shared" si="37"/>
        <v>#DIV/0!</v>
      </c>
      <c r="DH59" s="18" t="e">
        <f t="shared" si="38"/>
        <v>#DIV/0!</v>
      </c>
      <c r="DI59" s="18" t="e">
        <f t="shared" si="39"/>
        <v>#DIV/0!</v>
      </c>
      <c r="DJ59" s="18" t="e">
        <f t="shared" si="40"/>
        <v>#VALUE!</v>
      </c>
    </row>
    <row r="60" spans="1:116" ht="35.65">
      <c r="A60" s="371" t="s">
        <v>680</v>
      </c>
      <c r="B60" s="371" t="s">
        <v>681</v>
      </c>
      <c r="C60" s="362">
        <v>1272</v>
      </c>
      <c r="D60" s="362">
        <v>39</v>
      </c>
      <c r="E60" s="362" t="s">
        <v>611</v>
      </c>
      <c r="F60" s="362">
        <v>6</v>
      </c>
      <c r="G60" s="362">
        <v>438</v>
      </c>
      <c r="H60" s="362">
        <v>540</v>
      </c>
      <c r="I60" s="372">
        <f t="shared" si="44"/>
        <v>701</v>
      </c>
      <c r="J60" s="362">
        <v>58</v>
      </c>
      <c r="K60" s="362">
        <v>0</v>
      </c>
      <c r="L60" s="362">
        <v>281</v>
      </c>
      <c r="M60" s="372">
        <f t="shared" si="45"/>
        <v>120</v>
      </c>
      <c r="N60" s="262"/>
      <c r="P60" s="258" t="s">
        <v>680</v>
      </c>
      <c r="Q60" s="258" t="s">
        <v>681</v>
      </c>
      <c r="R60" s="125">
        <v>828</v>
      </c>
      <c r="S60" s="125" t="s">
        <v>611</v>
      </c>
      <c r="T60" s="125">
        <v>4</v>
      </c>
      <c r="U60" s="125">
        <v>110</v>
      </c>
      <c r="V60" s="125">
        <v>540</v>
      </c>
      <c r="W60" s="125">
        <v>12</v>
      </c>
      <c r="X60" s="125">
        <v>0</v>
      </c>
      <c r="Y60" s="125">
        <v>161</v>
      </c>
      <c r="Z60" s="125"/>
      <c r="AB60" s="258" t="s">
        <v>680</v>
      </c>
      <c r="AC60" s="258" t="s">
        <v>681</v>
      </c>
      <c r="AD60" s="125">
        <v>663</v>
      </c>
      <c r="AE60" s="125">
        <v>39</v>
      </c>
      <c r="AF60" s="125">
        <v>2</v>
      </c>
      <c r="AG60" s="125">
        <v>2</v>
      </c>
      <c r="AH60" s="125">
        <v>328</v>
      </c>
      <c r="AI60" s="125" t="s">
        <v>611</v>
      </c>
      <c r="AJ60" s="125">
        <v>46</v>
      </c>
      <c r="AK60" s="125">
        <v>0</v>
      </c>
      <c r="AL60" s="125">
        <v>246</v>
      </c>
      <c r="AO60" s="258" t="s">
        <v>680</v>
      </c>
      <c r="AP60" s="258" t="s">
        <v>681</v>
      </c>
      <c r="AQ60" s="125">
        <v>545</v>
      </c>
      <c r="AR60" s="306"/>
      <c r="AS60" s="125" t="s">
        <v>611</v>
      </c>
      <c r="AT60" s="125">
        <v>2</v>
      </c>
      <c r="AU60" s="306"/>
      <c r="AV60" s="125" t="s">
        <v>611</v>
      </c>
      <c r="AW60" s="125">
        <v>46</v>
      </c>
      <c r="AX60" s="125">
        <v>0</v>
      </c>
      <c r="AY60" s="125">
        <v>121</v>
      </c>
      <c r="BB60" s="258" t="s">
        <v>680</v>
      </c>
      <c r="BC60" s="258" t="s">
        <v>681</v>
      </c>
      <c r="BD60" s="125">
        <v>132</v>
      </c>
      <c r="BE60" s="125">
        <v>0</v>
      </c>
      <c r="BF60" s="125">
        <v>130</v>
      </c>
      <c r="BG60" s="125">
        <v>0</v>
      </c>
      <c r="BH60" s="125">
        <v>0</v>
      </c>
      <c r="BI60" s="125">
        <v>0</v>
      </c>
      <c r="BJ60" s="125">
        <v>2</v>
      </c>
      <c r="BK60" s="261"/>
      <c r="BL60" s="261"/>
      <c r="BM60" s="258" t="s">
        <v>680</v>
      </c>
      <c r="BN60" s="258" t="s">
        <v>681</v>
      </c>
      <c r="BO60" s="261" t="e">
        <f t="shared" si="3"/>
        <v>#VALUE!</v>
      </c>
      <c r="BP60" s="261">
        <f t="shared" si="4"/>
        <v>39</v>
      </c>
      <c r="BQ60" s="261" t="e">
        <f t="shared" si="5"/>
        <v>#VALUE!</v>
      </c>
      <c r="BR60" s="261">
        <f t="shared" si="6"/>
        <v>6</v>
      </c>
      <c r="BS60" s="261">
        <f t="shared" si="7"/>
        <v>438</v>
      </c>
      <c r="BT60" s="261" t="e">
        <f t="shared" si="8"/>
        <v>#VALUE!</v>
      </c>
      <c r="BU60" s="261">
        <f t="shared" si="9"/>
        <v>58</v>
      </c>
      <c r="BV60" s="261">
        <f t="shared" si="10"/>
        <v>0</v>
      </c>
      <c r="BW60" s="125">
        <f t="shared" si="46"/>
        <v>0</v>
      </c>
      <c r="BZ60" s="258" t="s">
        <v>680</v>
      </c>
      <c r="CA60" s="258" t="s">
        <v>681</v>
      </c>
      <c r="CB60" s="261" t="e">
        <f t="shared" si="12"/>
        <v>#VALUE!</v>
      </c>
      <c r="CC60" s="409">
        <f t="shared" si="13"/>
        <v>39</v>
      </c>
      <c r="CD60" s="409" t="e">
        <f t="shared" si="14"/>
        <v>#VALUE!</v>
      </c>
      <c r="CE60" s="409">
        <f t="shared" si="15"/>
        <v>6</v>
      </c>
      <c r="CF60" s="409">
        <f t="shared" si="16"/>
        <v>438</v>
      </c>
      <c r="CG60" s="409" t="e">
        <f t="shared" si="17"/>
        <v>#VALUE!</v>
      </c>
      <c r="CH60" s="409">
        <f t="shared" si="18"/>
        <v>58</v>
      </c>
      <c r="CI60" s="409">
        <f t="shared" si="19"/>
        <v>0</v>
      </c>
      <c r="CJ60" s="409">
        <f t="shared" si="20"/>
        <v>0</v>
      </c>
      <c r="CK60" s="372">
        <f t="shared" si="21"/>
        <v>0</v>
      </c>
      <c r="CM60" s="258" t="s">
        <v>680</v>
      </c>
      <c r="CN60" s="258" t="s">
        <v>681</v>
      </c>
      <c r="CO60" s="5" t="e">
        <f t="shared" si="22"/>
        <v>#VALUE!</v>
      </c>
      <c r="CP60" s="5">
        <f t="shared" si="23"/>
        <v>3.4330985915492961E-2</v>
      </c>
      <c r="CQ60" s="5" t="e">
        <f t="shared" si="24"/>
        <v>#VALUE!</v>
      </c>
      <c r="CR60" s="5">
        <f t="shared" si="25"/>
        <v>1.0084033613445379E-2</v>
      </c>
      <c r="CS60" s="5">
        <f t="shared" si="26"/>
        <v>0.12706701479547433</v>
      </c>
      <c r="CT60" s="5" t="e">
        <f t="shared" si="27"/>
        <v>#VALUE!</v>
      </c>
      <c r="CU60" s="5">
        <f t="shared" si="28"/>
        <v>0.14987080103359174</v>
      </c>
      <c r="CV60" s="5">
        <f t="shared" si="29"/>
        <v>0</v>
      </c>
      <c r="CW60" s="5">
        <f t="shared" si="30"/>
        <v>0.1380952380952381</v>
      </c>
      <c r="CX60" s="5">
        <f t="shared" si="31"/>
        <v>0</v>
      </c>
      <c r="CZ60" s="447" t="s">
        <v>680</v>
      </c>
      <c r="DA60" s="447" t="s">
        <v>681</v>
      </c>
      <c r="DB60" s="18" t="e">
        <f t="shared" si="32"/>
        <v>#VALUE!</v>
      </c>
      <c r="DC60" s="18" t="e">
        <f t="shared" si="33"/>
        <v>#VALUE!</v>
      </c>
      <c r="DD60" s="18">
        <f t="shared" si="43"/>
        <v>0.66666666666666663</v>
      </c>
      <c r="DE60" s="18">
        <f t="shared" si="35"/>
        <v>0.25114155251141551</v>
      </c>
      <c r="DF60" s="18" t="e">
        <f t="shared" si="36"/>
        <v>#VALUE!</v>
      </c>
      <c r="DG60" s="18">
        <f t="shared" si="37"/>
        <v>0.20689655172413793</v>
      </c>
      <c r="DH60" s="18" t="e">
        <f t="shared" si="38"/>
        <v>#DIV/0!</v>
      </c>
      <c r="DI60" s="18">
        <f t="shared" si="39"/>
        <v>0.20689655172413793</v>
      </c>
      <c r="DJ60" s="18" t="e">
        <f t="shared" si="40"/>
        <v>#DIV/0!</v>
      </c>
    </row>
    <row r="61" spans="1:116" ht="35.65">
      <c r="A61" s="371" t="s">
        <v>682</v>
      </c>
      <c r="B61" s="371" t="s">
        <v>683</v>
      </c>
      <c r="C61" s="362">
        <v>1519</v>
      </c>
      <c r="D61" s="362">
        <v>38</v>
      </c>
      <c r="E61" s="362" t="s">
        <v>611</v>
      </c>
      <c r="F61" s="362">
        <v>1</v>
      </c>
      <c r="G61" s="362">
        <v>389</v>
      </c>
      <c r="H61" s="362">
        <v>691</v>
      </c>
      <c r="I61" s="372">
        <f t="shared" si="44"/>
        <v>1077</v>
      </c>
      <c r="J61" s="362">
        <v>3</v>
      </c>
      <c r="K61" s="362">
        <v>0</v>
      </c>
      <c r="L61" s="362">
        <v>410</v>
      </c>
      <c r="M61" s="372">
        <f t="shared" si="45"/>
        <v>24</v>
      </c>
      <c r="N61" s="262"/>
      <c r="P61" s="258" t="s">
        <v>682</v>
      </c>
      <c r="Q61" s="258" t="s">
        <v>683</v>
      </c>
      <c r="R61" s="125">
        <v>1124</v>
      </c>
      <c r="S61" s="125">
        <v>0</v>
      </c>
      <c r="T61" s="125" t="s">
        <v>611</v>
      </c>
      <c r="U61" s="125">
        <v>48</v>
      </c>
      <c r="V61" s="125">
        <v>691</v>
      </c>
      <c r="W61" s="125">
        <v>0</v>
      </c>
      <c r="X61" s="125">
        <v>0</v>
      </c>
      <c r="Y61" s="125">
        <v>386</v>
      </c>
      <c r="Z61" s="125"/>
      <c r="AB61" s="258" t="s">
        <v>682</v>
      </c>
      <c r="AC61" s="258" t="s">
        <v>683</v>
      </c>
      <c r="AD61" s="125">
        <v>474</v>
      </c>
      <c r="AE61" s="125">
        <v>38</v>
      </c>
      <c r="AF61" s="125" t="s">
        <v>611</v>
      </c>
      <c r="AG61" s="125">
        <v>1</v>
      </c>
      <c r="AH61" s="125">
        <v>341</v>
      </c>
      <c r="AI61" s="125">
        <v>1</v>
      </c>
      <c r="AJ61" s="125">
        <v>3</v>
      </c>
      <c r="AK61" s="125">
        <v>0</v>
      </c>
      <c r="AL61" s="125">
        <v>90</v>
      </c>
      <c r="AO61" s="258" t="s">
        <v>682</v>
      </c>
      <c r="AP61" s="258" t="s">
        <v>683</v>
      </c>
      <c r="AQ61" s="125">
        <v>435</v>
      </c>
      <c r="AR61" s="125">
        <v>62</v>
      </c>
      <c r="AS61" s="125" t="s">
        <v>611</v>
      </c>
      <c r="AT61" s="125">
        <v>1</v>
      </c>
      <c r="AU61" s="125">
        <v>341</v>
      </c>
      <c r="AV61" s="125">
        <v>1</v>
      </c>
      <c r="AW61" s="125">
        <v>3</v>
      </c>
      <c r="AX61" s="125">
        <v>0</v>
      </c>
      <c r="AY61" s="125">
        <v>27</v>
      </c>
      <c r="BB61" s="258" t="s">
        <v>682</v>
      </c>
      <c r="BC61" s="258" t="s">
        <v>683</v>
      </c>
      <c r="BD61" s="125">
        <v>47</v>
      </c>
      <c r="BE61" s="125">
        <v>0</v>
      </c>
      <c r="BF61" s="125">
        <v>46</v>
      </c>
      <c r="BG61" s="125">
        <v>0</v>
      </c>
      <c r="BH61" s="125">
        <v>0</v>
      </c>
      <c r="BI61" s="125">
        <v>0</v>
      </c>
      <c r="BJ61" s="125">
        <v>1</v>
      </c>
      <c r="BK61" s="261"/>
      <c r="BL61" s="261"/>
      <c r="BM61" s="258" t="s">
        <v>682</v>
      </c>
      <c r="BN61" s="258" t="s">
        <v>683</v>
      </c>
      <c r="BO61" s="261" t="e">
        <f t="shared" si="3"/>
        <v>#VALUE!</v>
      </c>
      <c r="BP61" s="261">
        <f t="shared" si="4"/>
        <v>38</v>
      </c>
      <c r="BQ61" s="261" t="e">
        <f t="shared" si="5"/>
        <v>#VALUE!</v>
      </c>
      <c r="BR61" s="261" t="e">
        <f t="shared" si="6"/>
        <v>#VALUE!</v>
      </c>
      <c r="BS61" s="261">
        <f t="shared" si="7"/>
        <v>389</v>
      </c>
      <c r="BT61" s="261">
        <f t="shared" si="8"/>
        <v>1078</v>
      </c>
      <c r="BU61" s="261">
        <f t="shared" si="9"/>
        <v>3</v>
      </c>
      <c r="BV61" s="261">
        <f t="shared" si="10"/>
        <v>0</v>
      </c>
      <c r="BW61" s="125">
        <f t="shared" si="46"/>
        <v>0</v>
      </c>
      <c r="BZ61" s="258" t="s">
        <v>682</v>
      </c>
      <c r="CA61" s="258" t="s">
        <v>683</v>
      </c>
      <c r="CB61" s="261" t="e">
        <f t="shared" si="12"/>
        <v>#VALUE!</v>
      </c>
      <c r="CC61" s="409">
        <f t="shared" si="13"/>
        <v>38</v>
      </c>
      <c r="CD61" s="409" t="e">
        <f t="shared" si="14"/>
        <v>#VALUE!</v>
      </c>
      <c r="CE61" s="409" t="e">
        <f t="shared" si="15"/>
        <v>#VALUE!</v>
      </c>
      <c r="CF61" s="409">
        <f t="shared" si="16"/>
        <v>389</v>
      </c>
      <c r="CG61" s="409">
        <f t="shared" si="17"/>
        <v>1078</v>
      </c>
      <c r="CH61" s="409">
        <f t="shared" si="18"/>
        <v>3</v>
      </c>
      <c r="CI61" s="409">
        <f t="shared" si="19"/>
        <v>0</v>
      </c>
      <c r="CJ61" s="409">
        <f t="shared" si="20"/>
        <v>0</v>
      </c>
      <c r="CK61" s="372">
        <f t="shared" si="21"/>
        <v>0</v>
      </c>
      <c r="CM61" s="258" t="s">
        <v>682</v>
      </c>
      <c r="CN61" s="258" t="s">
        <v>683</v>
      </c>
      <c r="CO61" s="5" t="e">
        <f t="shared" si="22"/>
        <v>#VALUE!</v>
      </c>
      <c r="CP61" s="5">
        <f t="shared" si="23"/>
        <v>3.345070422535211E-2</v>
      </c>
      <c r="CQ61" s="5" t="e">
        <f t="shared" si="24"/>
        <v>#VALUE!</v>
      </c>
      <c r="CR61" s="5" t="e">
        <f t="shared" si="25"/>
        <v>#VALUE!</v>
      </c>
      <c r="CS61" s="5">
        <f t="shared" si="26"/>
        <v>0.11285175514940528</v>
      </c>
      <c r="CT61" s="5">
        <f t="shared" si="27"/>
        <v>0.35297969875573021</v>
      </c>
      <c r="CU61" s="5">
        <f t="shared" si="28"/>
        <v>7.7519379844961239E-3</v>
      </c>
      <c r="CV61" s="5">
        <f t="shared" si="29"/>
        <v>0</v>
      </c>
      <c r="CW61" s="5">
        <f t="shared" si="30"/>
        <v>7.1428571428571426E-3</v>
      </c>
      <c r="CX61" s="5">
        <f t="shared" si="31"/>
        <v>0</v>
      </c>
      <c r="CZ61" s="447" t="s">
        <v>682</v>
      </c>
      <c r="DA61" s="447" t="s">
        <v>683</v>
      </c>
      <c r="DB61" s="18" t="e">
        <f t="shared" si="32"/>
        <v>#VALUE!</v>
      </c>
      <c r="DC61" s="18" t="e">
        <f t="shared" si="33"/>
        <v>#VALUE!</v>
      </c>
      <c r="DD61" s="18" t="e">
        <f t="shared" si="43"/>
        <v>#VALUE!</v>
      </c>
      <c r="DE61" s="18">
        <f t="shared" si="35"/>
        <v>0.12339331619537275</v>
      </c>
      <c r="DF61" s="18">
        <f t="shared" si="36"/>
        <v>0.9990723562152134</v>
      </c>
      <c r="DG61" s="18">
        <f t="shared" si="37"/>
        <v>0</v>
      </c>
      <c r="DH61" s="18" t="e">
        <f t="shared" si="38"/>
        <v>#DIV/0!</v>
      </c>
      <c r="DI61" s="18">
        <f t="shared" si="39"/>
        <v>0</v>
      </c>
      <c r="DJ61" s="18" t="e">
        <f t="shared" si="40"/>
        <v>#DIV/0!</v>
      </c>
    </row>
    <row r="62" spans="1:116" ht="24">
      <c r="A62" s="371" t="s">
        <v>684</v>
      </c>
      <c r="B62" s="371" t="s">
        <v>685</v>
      </c>
      <c r="C62" s="362">
        <v>32</v>
      </c>
      <c r="D62" s="362">
        <v>3</v>
      </c>
      <c r="E62" s="362">
        <v>0</v>
      </c>
      <c r="F62" s="362" t="s">
        <v>611</v>
      </c>
      <c r="G62" s="362">
        <v>19</v>
      </c>
      <c r="H62" s="362" t="s">
        <v>611</v>
      </c>
      <c r="I62" s="372" t="e">
        <f t="shared" si="44"/>
        <v>#VALUE!</v>
      </c>
      <c r="J62" s="362">
        <v>0</v>
      </c>
      <c r="K62" s="362">
        <v>0</v>
      </c>
      <c r="L62" s="362">
        <v>10</v>
      </c>
      <c r="M62" s="372" t="e">
        <f t="shared" si="45"/>
        <v>#VALUE!</v>
      </c>
      <c r="N62" s="262"/>
      <c r="P62" s="258" t="s">
        <v>684</v>
      </c>
      <c r="Q62" s="258" t="s">
        <v>685</v>
      </c>
      <c r="R62" s="125" t="s">
        <v>611</v>
      </c>
      <c r="S62" s="125">
        <v>0</v>
      </c>
      <c r="T62" s="125" t="s">
        <v>611</v>
      </c>
      <c r="U62" s="125" t="s">
        <v>611</v>
      </c>
      <c r="V62" s="125">
        <v>0</v>
      </c>
      <c r="W62" s="125">
        <v>0</v>
      </c>
      <c r="X62" s="125">
        <v>0</v>
      </c>
      <c r="Y62" s="125" t="s">
        <v>611</v>
      </c>
      <c r="Z62" s="125"/>
      <c r="AB62" s="258" t="s">
        <v>684</v>
      </c>
      <c r="AC62" s="258" t="s">
        <v>685</v>
      </c>
      <c r="AD62" s="125">
        <v>32</v>
      </c>
      <c r="AE62" s="125">
        <v>3</v>
      </c>
      <c r="AF62" s="125">
        <v>0</v>
      </c>
      <c r="AG62" s="125" t="s">
        <v>611</v>
      </c>
      <c r="AH62" s="125">
        <v>18</v>
      </c>
      <c r="AI62" s="125" t="s">
        <v>611</v>
      </c>
      <c r="AJ62" s="125">
        <v>0</v>
      </c>
      <c r="AK62" s="125">
        <v>0</v>
      </c>
      <c r="AL62" s="125">
        <v>10</v>
      </c>
      <c r="AO62" s="258" t="s">
        <v>684</v>
      </c>
      <c r="AP62" s="258" t="s">
        <v>685</v>
      </c>
      <c r="AQ62" s="125">
        <v>32</v>
      </c>
      <c r="AR62" s="125">
        <v>3</v>
      </c>
      <c r="AS62" s="125">
        <v>0</v>
      </c>
      <c r="AT62" s="125" t="s">
        <v>611</v>
      </c>
      <c r="AU62" s="125">
        <v>18</v>
      </c>
      <c r="AV62" s="125" t="s">
        <v>611</v>
      </c>
      <c r="AW62" s="125">
        <v>0</v>
      </c>
      <c r="AX62" s="125">
        <v>0</v>
      </c>
      <c r="AY62" s="125">
        <v>10</v>
      </c>
      <c r="BB62" s="258" t="s">
        <v>684</v>
      </c>
      <c r="BC62" s="258" t="s">
        <v>685</v>
      </c>
      <c r="BD62" s="125" t="s">
        <v>611</v>
      </c>
      <c r="BE62" s="125">
        <v>0</v>
      </c>
      <c r="BF62" s="125">
        <v>0</v>
      </c>
      <c r="BG62" s="125">
        <v>0</v>
      </c>
      <c r="BH62" s="125">
        <v>0</v>
      </c>
      <c r="BI62" s="125">
        <v>0</v>
      </c>
      <c r="BJ62" s="125" t="s">
        <v>611</v>
      </c>
      <c r="BK62" s="261"/>
      <c r="BL62" s="261"/>
      <c r="BM62" s="258" t="s">
        <v>684</v>
      </c>
      <c r="BN62" s="258" t="s">
        <v>685</v>
      </c>
      <c r="BO62" s="261" t="e">
        <f t="shared" si="3"/>
        <v>#VALUE!</v>
      </c>
      <c r="BP62" s="261">
        <f t="shared" si="4"/>
        <v>3</v>
      </c>
      <c r="BQ62" s="261" t="e">
        <f t="shared" si="5"/>
        <v>#VALUE!</v>
      </c>
      <c r="BR62" s="261" t="e">
        <f t="shared" si="6"/>
        <v>#VALUE!</v>
      </c>
      <c r="BS62" s="261" t="e">
        <f t="shared" si="7"/>
        <v>#VALUE!</v>
      </c>
      <c r="BT62" s="261" t="e">
        <f t="shared" si="8"/>
        <v>#VALUE!</v>
      </c>
      <c r="BU62" s="261">
        <f t="shared" si="9"/>
        <v>0</v>
      </c>
      <c r="BV62" s="261">
        <f t="shared" si="10"/>
        <v>0</v>
      </c>
      <c r="BW62" s="125">
        <f t="shared" si="46"/>
        <v>0</v>
      </c>
      <c r="BZ62" s="258" t="s">
        <v>684</v>
      </c>
      <c r="CA62" s="258" t="s">
        <v>685</v>
      </c>
      <c r="CB62" s="261" t="e">
        <f t="shared" si="12"/>
        <v>#VALUE!</v>
      </c>
      <c r="CC62" s="409">
        <f t="shared" si="13"/>
        <v>3</v>
      </c>
      <c r="CD62" s="409">
        <f t="shared" si="14"/>
        <v>0</v>
      </c>
      <c r="CE62" s="409" t="e">
        <f t="shared" si="15"/>
        <v>#VALUE!</v>
      </c>
      <c r="CF62" s="409" t="e">
        <f t="shared" si="16"/>
        <v>#VALUE!</v>
      </c>
      <c r="CG62" s="409" t="e">
        <f t="shared" si="17"/>
        <v>#VALUE!</v>
      </c>
      <c r="CH62" s="409">
        <f t="shared" si="18"/>
        <v>0</v>
      </c>
      <c r="CI62" s="409">
        <f t="shared" si="19"/>
        <v>0</v>
      </c>
      <c r="CJ62" s="409">
        <f t="shared" si="20"/>
        <v>0</v>
      </c>
      <c r="CK62" s="372">
        <f t="shared" si="21"/>
        <v>0</v>
      </c>
      <c r="CM62" s="258" t="s">
        <v>684</v>
      </c>
      <c r="CN62" s="258" t="s">
        <v>685</v>
      </c>
      <c r="CO62" s="5" t="e">
        <f t="shared" si="22"/>
        <v>#VALUE!</v>
      </c>
      <c r="CP62" s="5">
        <f t="shared" si="23"/>
        <v>2.6408450704225352E-3</v>
      </c>
      <c r="CQ62" s="5">
        <f t="shared" si="24"/>
        <v>0</v>
      </c>
      <c r="CR62" s="5" t="e">
        <f t="shared" si="25"/>
        <v>#VALUE!</v>
      </c>
      <c r="CS62" s="5" t="e">
        <f t="shared" si="26"/>
        <v>#VALUE!</v>
      </c>
      <c r="CT62" s="5" t="e">
        <f t="shared" si="27"/>
        <v>#VALUE!</v>
      </c>
      <c r="CU62" s="5">
        <f t="shared" si="28"/>
        <v>0</v>
      </c>
      <c r="CV62" s="5">
        <f t="shared" si="29"/>
        <v>0</v>
      </c>
      <c r="CW62" s="5">
        <f t="shared" si="30"/>
        <v>0</v>
      </c>
      <c r="CX62" s="5">
        <f t="shared" si="31"/>
        <v>0</v>
      </c>
      <c r="CZ62" s="447" t="s">
        <v>684</v>
      </c>
      <c r="DA62" s="447" t="s">
        <v>685</v>
      </c>
      <c r="DB62" s="18" t="e">
        <f t="shared" si="32"/>
        <v>#VALUE!</v>
      </c>
      <c r="DC62" s="18" t="e">
        <f t="shared" si="33"/>
        <v>#DIV/0!</v>
      </c>
      <c r="DD62" s="18" t="e">
        <f t="shared" si="43"/>
        <v>#VALUE!</v>
      </c>
      <c r="DE62" s="18" t="e">
        <f t="shared" si="35"/>
        <v>#VALUE!</v>
      </c>
      <c r="DF62" s="18" t="e">
        <f t="shared" si="36"/>
        <v>#VALUE!</v>
      </c>
      <c r="DG62" s="18" t="e">
        <f t="shared" si="37"/>
        <v>#DIV/0!</v>
      </c>
      <c r="DH62" s="18" t="e">
        <f t="shared" si="38"/>
        <v>#DIV/0!</v>
      </c>
      <c r="DI62" s="18" t="e">
        <f t="shared" si="39"/>
        <v>#DIV/0!</v>
      </c>
      <c r="DJ62" s="18" t="e">
        <f t="shared" si="40"/>
        <v>#DIV/0!</v>
      </c>
    </row>
    <row r="63" spans="1:116" ht="47.25">
      <c r="A63" s="371" t="s">
        <v>686</v>
      </c>
      <c r="B63" s="371" t="s">
        <v>687</v>
      </c>
      <c r="C63" s="362">
        <v>34</v>
      </c>
      <c r="D63" s="362">
        <v>11</v>
      </c>
      <c r="E63" s="362" t="s">
        <v>611</v>
      </c>
      <c r="F63" s="362" t="s">
        <v>611</v>
      </c>
      <c r="G63" s="362">
        <v>13</v>
      </c>
      <c r="H63" s="362" t="s">
        <v>611</v>
      </c>
      <c r="I63" s="372" t="e">
        <f t="shared" si="44"/>
        <v>#VALUE!</v>
      </c>
      <c r="J63" s="362">
        <v>10</v>
      </c>
      <c r="K63" s="362">
        <v>0</v>
      </c>
      <c r="L63" s="362" t="s">
        <v>611</v>
      </c>
      <c r="M63" s="372" t="e">
        <f t="shared" si="45"/>
        <v>#VALUE!</v>
      </c>
      <c r="N63" s="262"/>
      <c r="P63" s="258" t="s">
        <v>686</v>
      </c>
      <c r="Q63" s="258" t="s">
        <v>687</v>
      </c>
      <c r="R63" s="125" t="s">
        <v>611</v>
      </c>
      <c r="S63" s="125">
        <v>0</v>
      </c>
      <c r="T63" s="125">
        <v>0</v>
      </c>
      <c r="U63" s="125" t="s">
        <v>611</v>
      </c>
      <c r="V63" s="125">
        <v>0</v>
      </c>
      <c r="W63" s="125">
        <v>0</v>
      </c>
      <c r="X63" s="125">
        <v>0</v>
      </c>
      <c r="Y63" s="125" t="s">
        <v>611</v>
      </c>
      <c r="Z63" s="125"/>
      <c r="AB63" s="258" t="s">
        <v>686</v>
      </c>
      <c r="AC63" s="258" t="s">
        <v>687</v>
      </c>
      <c r="AD63" s="125">
        <v>34</v>
      </c>
      <c r="AE63" s="125">
        <v>11</v>
      </c>
      <c r="AF63" s="125" t="s">
        <v>611</v>
      </c>
      <c r="AG63" s="125" t="s">
        <v>611</v>
      </c>
      <c r="AH63" s="125">
        <v>13</v>
      </c>
      <c r="AI63" s="125" t="s">
        <v>611</v>
      </c>
      <c r="AJ63" s="125">
        <v>10</v>
      </c>
      <c r="AK63" s="125">
        <v>0</v>
      </c>
      <c r="AL63" s="125" t="s">
        <v>611</v>
      </c>
      <c r="AO63" s="258" t="s">
        <v>686</v>
      </c>
      <c r="AP63" s="258" t="s">
        <v>687</v>
      </c>
      <c r="AQ63" s="125">
        <v>35</v>
      </c>
      <c r="AR63" s="125">
        <v>11</v>
      </c>
      <c r="AS63" s="125" t="s">
        <v>611</v>
      </c>
      <c r="AT63" s="125" t="s">
        <v>611</v>
      </c>
      <c r="AU63" s="125">
        <v>13</v>
      </c>
      <c r="AV63" s="125" t="s">
        <v>611</v>
      </c>
      <c r="AW63" s="125">
        <v>10</v>
      </c>
      <c r="AX63" s="125">
        <v>0</v>
      </c>
      <c r="AY63" s="125"/>
      <c r="BB63" s="258" t="s">
        <v>686</v>
      </c>
      <c r="BC63" s="258" t="s">
        <v>687</v>
      </c>
      <c r="BD63" s="125">
        <v>0</v>
      </c>
      <c r="BE63" s="125">
        <v>0</v>
      </c>
      <c r="BF63" s="125">
        <v>0</v>
      </c>
      <c r="BG63" s="125">
        <v>0</v>
      </c>
      <c r="BH63" s="125">
        <v>0</v>
      </c>
      <c r="BI63" s="125">
        <v>0</v>
      </c>
      <c r="BJ63" s="125">
        <v>0</v>
      </c>
      <c r="BK63" s="261"/>
      <c r="BL63" s="261"/>
      <c r="BM63" s="258" t="s">
        <v>686</v>
      </c>
      <c r="BN63" s="258" t="s">
        <v>687</v>
      </c>
      <c r="BO63" s="261" t="e">
        <f t="shared" si="3"/>
        <v>#VALUE!</v>
      </c>
      <c r="BP63" s="261">
        <f t="shared" si="4"/>
        <v>11</v>
      </c>
      <c r="BQ63" s="261" t="e">
        <f t="shared" si="5"/>
        <v>#VALUE!</v>
      </c>
      <c r="BR63" s="261" t="e">
        <f t="shared" si="6"/>
        <v>#VALUE!</v>
      </c>
      <c r="BS63" s="261" t="e">
        <f t="shared" si="7"/>
        <v>#VALUE!</v>
      </c>
      <c r="BT63" s="261" t="e">
        <f t="shared" si="8"/>
        <v>#VALUE!</v>
      </c>
      <c r="BU63" s="261">
        <f t="shared" si="9"/>
        <v>10</v>
      </c>
      <c r="BV63" s="261">
        <f t="shared" si="10"/>
        <v>0</v>
      </c>
      <c r="BW63" s="125">
        <f t="shared" si="46"/>
        <v>0</v>
      </c>
      <c r="BZ63" s="258" t="s">
        <v>686</v>
      </c>
      <c r="CA63" s="258" t="s">
        <v>687</v>
      </c>
      <c r="CB63" s="261" t="e">
        <f t="shared" si="12"/>
        <v>#VALUE!</v>
      </c>
      <c r="CC63" s="409">
        <f t="shared" si="13"/>
        <v>11</v>
      </c>
      <c r="CD63" s="409" t="e">
        <f t="shared" si="14"/>
        <v>#VALUE!</v>
      </c>
      <c r="CE63" s="409" t="e">
        <f t="shared" si="15"/>
        <v>#VALUE!</v>
      </c>
      <c r="CF63" s="409" t="e">
        <f t="shared" si="16"/>
        <v>#VALUE!</v>
      </c>
      <c r="CG63" s="409" t="e">
        <f t="shared" si="17"/>
        <v>#VALUE!</v>
      </c>
      <c r="CH63" s="409">
        <f t="shared" si="18"/>
        <v>10</v>
      </c>
      <c r="CI63" s="409">
        <f t="shared" si="19"/>
        <v>0</v>
      </c>
      <c r="CJ63" s="409">
        <f t="shared" si="20"/>
        <v>0</v>
      </c>
      <c r="CK63" s="372">
        <f t="shared" si="21"/>
        <v>0</v>
      </c>
      <c r="CM63" s="258" t="s">
        <v>686</v>
      </c>
      <c r="CN63" s="258" t="s">
        <v>687</v>
      </c>
      <c r="CO63" s="5" t="e">
        <f t="shared" si="22"/>
        <v>#VALUE!</v>
      </c>
      <c r="CP63" s="5">
        <f t="shared" si="23"/>
        <v>9.683098591549295E-3</v>
      </c>
      <c r="CQ63" s="5" t="e">
        <f t="shared" si="24"/>
        <v>#VALUE!</v>
      </c>
      <c r="CR63" s="5" t="e">
        <f t="shared" si="25"/>
        <v>#VALUE!</v>
      </c>
      <c r="CS63" s="5" t="e">
        <f t="shared" si="26"/>
        <v>#VALUE!</v>
      </c>
      <c r="CT63" s="5" t="e">
        <f t="shared" si="27"/>
        <v>#VALUE!</v>
      </c>
      <c r="CU63" s="5">
        <f t="shared" si="28"/>
        <v>2.5839793281653745E-2</v>
      </c>
      <c r="CV63" s="5">
        <f t="shared" si="29"/>
        <v>0</v>
      </c>
      <c r="CW63" s="5">
        <f t="shared" si="30"/>
        <v>2.3809523809523808E-2</v>
      </c>
      <c r="CX63" s="5">
        <f t="shared" si="31"/>
        <v>0</v>
      </c>
      <c r="CZ63" s="447" t="s">
        <v>686</v>
      </c>
      <c r="DA63" s="447" t="s">
        <v>687</v>
      </c>
      <c r="DB63" s="18" t="e">
        <f t="shared" si="32"/>
        <v>#VALUE!</v>
      </c>
      <c r="DC63" s="18" t="e">
        <f t="shared" si="33"/>
        <v>#VALUE!</v>
      </c>
      <c r="DD63" s="18" t="e">
        <f t="shared" si="43"/>
        <v>#VALUE!</v>
      </c>
      <c r="DE63" s="18" t="e">
        <f t="shared" si="35"/>
        <v>#VALUE!</v>
      </c>
      <c r="DF63" s="18" t="e">
        <f t="shared" si="36"/>
        <v>#VALUE!</v>
      </c>
      <c r="DG63" s="18">
        <f t="shared" si="37"/>
        <v>0</v>
      </c>
      <c r="DH63" s="18" t="e">
        <f t="shared" si="38"/>
        <v>#DIV/0!</v>
      </c>
      <c r="DI63" s="18">
        <f t="shared" si="39"/>
        <v>0</v>
      </c>
      <c r="DJ63" s="18" t="e">
        <f t="shared" si="40"/>
        <v>#DIV/0!</v>
      </c>
    </row>
    <row r="64" spans="1:116" ht="24">
      <c r="A64" s="371" t="s">
        <v>688</v>
      </c>
      <c r="B64" s="371" t="s">
        <v>689</v>
      </c>
      <c r="C64" s="362">
        <v>299</v>
      </c>
      <c r="D64" s="362">
        <v>7</v>
      </c>
      <c r="E64" s="362">
        <v>0</v>
      </c>
      <c r="F64" s="362" t="s">
        <v>611</v>
      </c>
      <c r="G64" s="362">
        <v>293</v>
      </c>
      <c r="H64" s="362">
        <v>0</v>
      </c>
      <c r="I64" s="372" t="e">
        <f t="shared" si="44"/>
        <v>#VALUE!</v>
      </c>
      <c r="J64" s="362">
        <v>0</v>
      </c>
      <c r="K64" s="362">
        <v>0</v>
      </c>
      <c r="L64" s="362" t="s">
        <v>611</v>
      </c>
      <c r="M64" s="372" t="e">
        <f t="shared" si="45"/>
        <v>#VALUE!</v>
      </c>
      <c r="N64" s="262"/>
      <c r="P64" s="258" t="s">
        <v>688</v>
      </c>
      <c r="Q64" s="258" t="s">
        <v>689</v>
      </c>
      <c r="R64" s="125">
        <v>176</v>
      </c>
      <c r="S64" s="125">
        <v>0</v>
      </c>
      <c r="T64" s="125">
        <v>0</v>
      </c>
      <c r="U64" s="125">
        <v>176</v>
      </c>
      <c r="V64" s="125">
        <v>0</v>
      </c>
      <c r="W64" s="125">
        <v>0</v>
      </c>
      <c r="X64" s="125">
        <v>0</v>
      </c>
      <c r="Y64" s="125" t="s">
        <v>611</v>
      </c>
      <c r="Z64" s="125"/>
      <c r="AB64" s="258" t="s">
        <v>688</v>
      </c>
      <c r="AC64" s="258" t="s">
        <v>689</v>
      </c>
      <c r="AD64" s="125">
        <v>129</v>
      </c>
      <c r="AE64" s="125">
        <v>7</v>
      </c>
      <c r="AF64" s="125">
        <v>0</v>
      </c>
      <c r="AG64" s="125" t="s">
        <v>611</v>
      </c>
      <c r="AH64" s="125">
        <v>117</v>
      </c>
      <c r="AI64" s="125">
        <v>0</v>
      </c>
      <c r="AJ64" s="125">
        <v>0</v>
      </c>
      <c r="AK64" s="125">
        <v>0</v>
      </c>
      <c r="AL64" s="125">
        <v>5</v>
      </c>
      <c r="AO64" s="258" t="s">
        <v>688</v>
      </c>
      <c r="AP64" s="258" t="s">
        <v>689</v>
      </c>
      <c r="AQ64" s="125">
        <v>124</v>
      </c>
      <c r="AR64" s="125">
        <v>7</v>
      </c>
      <c r="AS64" s="125">
        <v>0</v>
      </c>
      <c r="AT64" s="125" t="s">
        <v>611</v>
      </c>
      <c r="AU64" s="125">
        <v>117</v>
      </c>
      <c r="AV64" s="125">
        <v>0</v>
      </c>
      <c r="AW64" s="125">
        <v>0</v>
      </c>
      <c r="AX64" s="125">
        <v>0</v>
      </c>
      <c r="AY64" s="125"/>
      <c r="BB64" s="258" t="s">
        <v>688</v>
      </c>
      <c r="BC64" s="258" t="s">
        <v>689</v>
      </c>
      <c r="BD64" s="125" t="s">
        <v>611</v>
      </c>
      <c r="BE64" s="125">
        <v>0</v>
      </c>
      <c r="BF64" s="125" t="s">
        <v>611</v>
      </c>
      <c r="BG64" s="125">
        <v>0</v>
      </c>
      <c r="BH64" s="125">
        <v>0</v>
      </c>
      <c r="BI64" s="125">
        <v>0</v>
      </c>
      <c r="BJ64" s="125">
        <v>0</v>
      </c>
      <c r="BK64" s="261"/>
      <c r="BL64" s="261"/>
      <c r="BM64" s="258" t="s">
        <v>688</v>
      </c>
      <c r="BN64" s="258" t="s">
        <v>689</v>
      </c>
      <c r="BO64" s="261" t="e">
        <f t="shared" si="3"/>
        <v>#VALUE!</v>
      </c>
      <c r="BP64" s="261">
        <f t="shared" si="4"/>
        <v>7</v>
      </c>
      <c r="BQ64" s="261">
        <f t="shared" si="5"/>
        <v>0</v>
      </c>
      <c r="BR64" s="261" t="e">
        <f t="shared" si="6"/>
        <v>#VALUE!</v>
      </c>
      <c r="BS64" s="261">
        <f t="shared" si="7"/>
        <v>293</v>
      </c>
      <c r="BT64" s="261" t="e">
        <f t="shared" si="8"/>
        <v>#VALUE!</v>
      </c>
      <c r="BU64" s="261">
        <f t="shared" si="9"/>
        <v>0</v>
      </c>
      <c r="BV64" s="261">
        <f t="shared" si="10"/>
        <v>0</v>
      </c>
      <c r="BW64" s="125">
        <f t="shared" si="46"/>
        <v>0</v>
      </c>
      <c r="BZ64" s="258" t="s">
        <v>688</v>
      </c>
      <c r="CA64" s="258" t="s">
        <v>689</v>
      </c>
      <c r="CB64" s="261" t="e">
        <f t="shared" si="12"/>
        <v>#VALUE!</v>
      </c>
      <c r="CC64" s="409">
        <f t="shared" si="13"/>
        <v>7</v>
      </c>
      <c r="CD64" s="409">
        <f t="shared" si="14"/>
        <v>0</v>
      </c>
      <c r="CE64" s="409" t="e">
        <f t="shared" si="15"/>
        <v>#VALUE!</v>
      </c>
      <c r="CF64" s="409">
        <f t="shared" si="16"/>
        <v>293</v>
      </c>
      <c r="CG64" s="409" t="e">
        <f t="shared" si="17"/>
        <v>#VALUE!</v>
      </c>
      <c r="CH64" s="409">
        <f t="shared" si="18"/>
        <v>0</v>
      </c>
      <c r="CI64" s="409">
        <f t="shared" si="19"/>
        <v>0</v>
      </c>
      <c r="CJ64" s="409">
        <f t="shared" si="20"/>
        <v>0</v>
      </c>
      <c r="CK64" s="372">
        <f t="shared" si="21"/>
        <v>0</v>
      </c>
      <c r="CM64" s="258" t="s">
        <v>688</v>
      </c>
      <c r="CN64" s="258" t="s">
        <v>689</v>
      </c>
      <c r="CO64" s="5" t="e">
        <f t="shared" si="22"/>
        <v>#VALUE!</v>
      </c>
      <c r="CP64" s="5">
        <f t="shared" si="23"/>
        <v>6.1619718309859151E-3</v>
      </c>
      <c r="CQ64" s="5">
        <f t="shared" si="24"/>
        <v>0</v>
      </c>
      <c r="CR64" s="5" t="e">
        <f t="shared" si="25"/>
        <v>#VALUE!</v>
      </c>
      <c r="CS64" s="5">
        <f t="shared" si="26"/>
        <v>8.5001450536698581E-2</v>
      </c>
      <c r="CT64" s="5" t="e">
        <f t="shared" si="27"/>
        <v>#VALUE!</v>
      </c>
      <c r="CU64" s="5">
        <f t="shared" si="28"/>
        <v>0</v>
      </c>
      <c r="CV64" s="5">
        <f t="shared" si="29"/>
        <v>0</v>
      </c>
      <c r="CW64" s="5">
        <f t="shared" si="30"/>
        <v>0</v>
      </c>
      <c r="CX64" s="5">
        <f t="shared" si="31"/>
        <v>0</v>
      </c>
      <c r="CZ64" s="447" t="s">
        <v>688</v>
      </c>
      <c r="DA64" s="447" t="s">
        <v>689</v>
      </c>
      <c r="DB64" s="18" t="e">
        <f t="shared" si="32"/>
        <v>#VALUE!</v>
      </c>
      <c r="DC64" s="18" t="e">
        <f t="shared" si="33"/>
        <v>#DIV/0!</v>
      </c>
      <c r="DD64" s="18" t="e">
        <f t="shared" si="43"/>
        <v>#VALUE!</v>
      </c>
      <c r="DE64" s="18">
        <f t="shared" si="35"/>
        <v>0.60068259385665534</v>
      </c>
      <c r="DF64" s="18" t="e">
        <f t="shared" si="36"/>
        <v>#VALUE!</v>
      </c>
      <c r="DG64" s="18" t="e">
        <f t="shared" si="37"/>
        <v>#DIV/0!</v>
      </c>
      <c r="DH64" s="18" t="e">
        <f t="shared" si="38"/>
        <v>#DIV/0!</v>
      </c>
      <c r="DI64" s="18" t="e">
        <f t="shared" si="39"/>
        <v>#DIV/0!</v>
      </c>
      <c r="DJ64" s="18" t="e">
        <f t="shared" si="40"/>
        <v>#DIV/0!</v>
      </c>
    </row>
    <row r="65" spans="1:114" ht="24">
      <c r="A65" s="371" t="s">
        <v>690</v>
      </c>
      <c r="B65" s="371" t="s">
        <v>691</v>
      </c>
      <c r="C65" s="362">
        <v>32</v>
      </c>
      <c r="D65" s="362">
        <v>6</v>
      </c>
      <c r="E65" s="362" t="s">
        <v>611</v>
      </c>
      <c r="F65" s="362">
        <v>1</v>
      </c>
      <c r="G65" s="362">
        <v>22</v>
      </c>
      <c r="H65" s="362" t="s">
        <v>611</v>
      </c>
      <c r="I65" s="372" t="e">
        <f t="shared" si="44"/>
        <v>#VALUE!</v>
      </c>
      <c r="J65" s="362">
        <v>2</v>
      </c>
      <c r="K65" s="362">
        <v>0</v>
      </c>
      <c r="L65" s="362" t="s">
        <v>611</v>
      </c>
      <c r="M65" s="372" t="e">
        <f t="shared" si="45"/>
        <v>#VALUE!</v>
      </c>
      <c r="N65" s="262"/>
      <c r="P65" s="258" t="s">
        <v>690</v>
      </c>
      <c r="Q65" s="258" t="s">
        <v>691</v>
      </c>
      <c r="R65" s="125">
        <v>0</v>
      </c>
      <c r="S65" s="125">
        <v>0</v>
      </c>
      <c r="T65" s="125">
        <v>0</v>
      </c>
      <c r="U65" s="125">
        <v>0</v>
      </c>
      <c r="V65" s="125">
        <v>0</v>
      </c>
      <c r="W65" s="125">
        <v>0</v>
      </c>
      <c r="X65" s="125">
        <v>0</v>
      </c>
      <c r="Y65" s="125">
        <v>0</v>
      </c>
      <c r="Z65" s="125"/>
      <c r="AB65" s="258" t="s">
        <v>690</v>
      </c>
      <c r="AC65" s="258" t="s">
        <v>691</v>
      </c>
      <c r="AD65" s="125">
        <v>32</v>
      </c>
      <c r="AE65" s="125">
        <v>6</v>
      </c>
      <c r="AF65" s="125" t="s">
        <v>611</v>
      </c>
      <c r="AG65" s="125">
        <v>1</v>
      </c>
      <c r="AH65" s="125">
        <v>22</v>
      </c>
      <c r="AI65" s="125" t="s">
        <v>611</v>
      </c>
      <c r="AJ65" s="125">
        <v>2</v>
      </c>
      <c r="AK65" s="125">
        <v>0</v>
      </c>
      <c r="AL65" s="125" t="s">
        <v>611</v>
      </c>
      <c r="AO65" s="258" t="s">
        <v>690</v>
      </c>
      <c r="AP65" s="258" t="s">
        <v>691</v>
      </c>
      <c r="AQ65" s="125">
        <v>32</v>
      </c>
      <c r="AR65" s="125">
        <v>6</v>
      </c>
      <c r="AS65" s="125" t="s">
        <v>611</v>
      </c>
      <c r="AT65" s="125">
        <v>1</v>
      </c>
      <c r="AU65" s="125">
        <v>22</v>
      </c>
      <c r="AV65" s="125" t="s">
        <v>611</v>
      </c>
      <c r="AW65" s="125">
        <v>2</v>
      </c>
      <c r="AX65" s="125">
        <v>0</v>
      </c>
      <c r="AY65" s="125"/>
      <c r="BB65" s="258" t="s">
        <v>690</v>
      </c>
      <c r="BC65" s="258" t="s">
        <v>691</v>
      </c>
      <c r="BD65" s="125">
        <v>0</v>
      </c>
      <c r="BE65" s="125">
        <v>0</v>
      </c>
      <c r="BF65" s="125">
        <v>0</v>
      </c>
      <c r="BG65" s="125">
        <v>0</v>
      </c>
      <c r="BH65" s="125">
        <v>0</v>
      </c>
      <c r="BI65" s="125">
        <v>0</v>
      </c>
      <c r="BJ65" s="125">
        <v>0</v>
      </c>
      <c r="BK65" s="261"/>
      <c r="BL65" s="261"/>
      <c r="BM65" s="258" t="s">
        <v>690</v>
      </c>
      <c r="BN65" s="258" t="s">
        <v>691</v>
      </c>
      <c r="BO65" s="261" t="e">
        <f t="shared" si="3"/>
        <v>#VALUE!</v>
      </c>
      <c r="BP65" s="261">
        <f t="shared" si="4"/>
        <v>6</v>
      </c>
      <c r="BQ65" s="261" t="e">
        <f t="shared" si="5"/>
        <v>#VALUE!</v>
      </c>
      <c r="BR65" s="261">
        <f t="shared" si="6"/>
        <v>1</v>
      </c>
      <c r="BS65" s="261">
        <f t="shared" si="7"/>
        <v>22</v>
      </c>
      <c r="BT65" s="261" t="e">
        <f t="shared" si="8"/>
        <v>#VALUE!</v>
      </c>
      <c r="BU65" s="261">
        <f t="shared" si="9"/>
        <v>2</v>
      </c>
      <c r="BV65" s="261">
        <f t="shared" si="10"/>
        <v>0</v>
      </c>
      <c r="BW65" s="125">
        <f t="shared" si="46"/>
        <v>0</v>
      </c>
      <c r="BZ65" s="258" t="s">
        <v>690</v>
      </c>
      <c r="CA65" s="258" t="s">
        <v>691</v>
      </c>
      <c r="CB65" s="261" t="e">
        <f t="shared" si="12"/>
        <v>#VALUE!</v>
      </c>
      <c r="CC65" s="409">
        <f t="shared" si="13"/>
        <v>6</v>
      </c>
      <c r="CD65" s="409" t="e">
        <f t="shared" si="14"/>
        <v>#VALUE!</v>
      </c>
      <c r="CE65" s="409">
        <f t="shared" si="15"/>
        <v>1</v>
      </c>
      <c r="CF65" s="409">
        <f t="shared" si="16"/>
        <v>22</v>
      </c>
      <c r="CG65" s="409" t="e">
        <f t="shared" si="17"/>
        <v>#VALUE!</v>
      </c>
      <c r="CH65" s="409">
        <f t="shared" si="18"/>
        <v>2</v>
      </c>
      <c r="CI65" s="409">
        <f t="shared" si="19"/>
        <v>0</v>
      </c>
      <c r="CJ65" s="409">
        <f t="shared" si="20"/>
        <v>0</v>
      </c>
      <c r="CK65" s="372">
        <f t="shared" si="21"/>
        <v>0</v>
      </c>
      <c r="CM65" s="258" t="s">
        <v>690</v>
      </c>
      <c r="CN65" s="258" t="s">
        <v>691</v>
      </c>
      <c r="CO65" s="5" t="e">
        <f t="shared" si="22"/>
        <v>#VALUE!</v>
      </c>
      <c r="CP65" s="5">
        <f t="shared" si="23"/>
        <v>5.2816901408450703E-3</v>
      </c>
      <c r="CQ65" s="5" t="e">
        <f t="shared" si="24"/>
        <v>#VALUE!</v>
      </c>
      <c r="CR65" s="5">
        <f t="shared" si="25"/>
        <v>1.6806722689075631E-3</v>
      </c>
      <c r="CS65" s="5">
        <f t="shared" si="26"/>
        <v>6.3823614737452856E-3</v>
      </c>
      <c r="CT65" s="5" t="e">
        <f t="shared" si="27"/>
        <v>#VALUE!</v>
      </c>
      <c r="CU65" s="5">
        <f t="shared" si="28"/>
        <v>5.1679586563307496E-3</v>
      </c>
      <c r="CV65" s="5">
        <f t="shared" si="29"/>
        <v>0</v>
      </c>
      <c r="CW65" s="5">
        <f t="shared" si="30"/>
        <v>4.7619047619047623E-3</v>
      </c>
      <c r="CX65" s="5">
        <f t="shared" si="31"/>
        <v>0</v>
      </c>
      <c r="CZ65" s="447" t="s">
        <v>690</v>
      </c>
      <c r="DA65" s="447" t="s">
        <v>691</v>
      </c>
      <c r="DB65" s="18" t="e">
        <f t="shared" si="32"/>
        <v>#VALUE!</v>
      </c>
      <c r="DC65" s="18" t="e">
        <f t="shared" si="33"/>
        <v>#VALUE!</v>
      </c>
      <c r="DD65" s="18">
        <f t="shared" si="43"/>
        <v>0</v>
      </c>
      <c r="DE65" s="18">
        <f t="shared" si="35"/>
        <v>0</v>
      </c>
      <c r="DF65" s="18" t="e">
        <f t="shared" si="36"/>
        <v>#VALUE!</v>
      </c>
      <c r="DG65" s="18">
        <f t="shared" si="37"/>
        <v>0</v>
      </c>
      <c r="DH65" s="18" t="e">
        <f t="shared" si="38"/>
        <v>#DIV/0!</v>
      </c>
      <c r="DI65" s="18">
        <f t="shared" si="39"/>
        <v>0</v>
      </c>
      <c r="DJ65" s="18" t="e">
        <f t="shared" si="40"/>
        <v>#DIV/0!</v>
      </c>
    </row>
    <row r="66" spans="1:114" ht="47.25">
      <c r="A66" s="371" t="s">
        <v>692</v>
      </c>
      <c r="B66" s="371" t="s">
        <v>693</v>
      </c>
      <c r="C66" s="362">
        <v>21</v>
      </c>
      <c r="D66" s="362">
        <v>9</v>
      </c>
      <c r="E66" s="362">
        <v>0</v>
      </c>
      <c r="F66" s="362" t="s">
        <v>611</v>
      </c>
      <c r="G66" s="362">
        <v>11</v>
      </c>
      <c r="H66" s="362" t="s">
        <v>611</v>
      </c>
      <c r="I66" s="372" t="e">
        <f t="shared" si="44"/>
        <v>#VALUE!</v>
      </c>
      <c r="J66" s="362">
        <v>0</v>
      </c>
      <c r="K66" s="362">
        <v>0</v>
      </c>
      <c r="L66" s="362">
        <v>1</v>
      </c>
      <c r="M66" s="372" t="e">
        <f t="shared" si="45"/>
        <v>#VALUE!</v>
      </c>
      <c r="N66" s="262"/>
      <c r="P66" s="258" t="s">
        <v>692</v>
      </c>
      <c r="Q66" s="258" t="s">
        <v>693</v>
      </c>
      <c r="R66" s="125" t="s">
        <v>611</v>
      </c>
      <c r="S66" s="125">
        <v>0</v>
      </c>
      <c r="T66" s="125">
        <v>0</v>
      </c>
      <c r="U66" s="125" t="s">
        <v>611</v>
      </c>
      <c r="V66" s="125">
        <v>0</v>
      </c>
      <c r="W66" s="125">
        <v>0</v>
      </c>
      <c r="X66" s="125">
        <v>0</v>
      </c>
      <c r="Y66" s="125" t="s">
        <v>611</v>
      </c>
      <c r="Z66" s="125"/>
      <c r="AB66" s="258" t="s">
        <v>692</v>
      </c>
      <c r="AC66" s="258" t="s">
        <v>693</v>
      </c>
      <c r="AD66" s="125">
        <v>21</v>
      </c>
      <c r="AE66" s="125">
        <v>9</v>
      </c>
      <c r="AF66" s="125">
        <v>0</v>
      </c>
      <c r="AG66" s="125" t="s">
        <v>611</v>
      </c>
      <c r="AH66" s="125">
        <v>10</v>
      </c>
      <c r="AI66" s="125" t="s">
        <v>611</v>
      </c>
      <c r="AJ66" s="125">
        <v>0</v>
      </c>
      <c r="AK66" s="125">
        <v>0</v>
      </c>
      <c r="AL66" s="125">
        <v>1</v>
      </c>
      <c r="AO66" s="258" t="s">
        <v>692</v>
      </c>
      <c r="AP66" s="258" t="s">
        <v>693</v>
      </c>
      <c r="AQ66" s="125">
        <v>21</v>
      </c>
      <c r="AR66" s="306"/>
      <c r="AS66" s="125">
        <v>0</v>
      </c>
      <c r="AT66" s="125" t="s">
        <v>611</v>
      </c>
      <c r="AU66" s="125">
        <v>10</v>
      </c>
      <c r="AV66" s="125" t="s">
        <v>611</v>
      </c>
      <c r="AW66" s="125">
        <v>0</v>
      </c>
      <c r="AX66" s="125">
        <v>0</v>
      </c>
      <c r="AY66" s="306"/>
      <c r="BB66" s="258" t="s">
        <v>692</v>
      </c>
      <c r="BC66" s="258" t="s">
        <v>693</v>
      </c>
      <c r="BD66" s="125" t="s">
        <v>611</v>
      </c>
      <c r="BE66" s="125">
        <v>0</v>
      </c>
      <c r="BF66" s="125">
        <v>0</v>
      </c>
      <c r="BG66" s="125">
        <v>0</v>
      </c>
      <c r="BH66" s="125">
        <v>0</v>
      </c>
      <c r="BI66" s="125" t="s">
        <v>611</v>
      </c>
      <c r="BJ66" s="125" t="s">
        <v>611</v>
      </c>
      <c r="BK66" s="261"/>
      <c r="BL66" s="261"/>
      <c r="BM66" s="258" t="s">
        <v>692</v>
      </c>
      <c r="BN66" s="258" t="s">
        <v>693</v>
      </c>
      <c r="BO66" s="261" t="e">
        <f t="shared" si="3"/>
        <v>#VALUE!</v>
      </c>
      <c r="BP66" s="261">
        <f t="shared" si="4"/>
        <v>9</v>
      </c>
      <c r="BQ66" s="261" t="e">
        <f t="shared" si="5"/>
        <v>#VALUE!</v>
      </c>
      <c r="BR66" s="261" t="e">
        <f t="shared" si="6"/>
        <v>#VALUE!</v>
      </c>
      <c r="BS66" s="261" t="e">
        <f t="shared" si="7"/>
        <v>#VALUE!</v>
      </c>
      <c r="BT66" s="261" t="e">
        <f t="shared" si="8"/>
        <v>#VALUE!</v>
      </c>
      <c r="BU66" s="261">
        <f t="shared" si="9"/>
        <v>0</v>
      </c>
      <c r="BV66" s="261">
        <f t="shared" si="10"/>
        <v>0</v>
      </c>
      <c r="BW66" s="125" t="str">
        <f t="shared" si="46"/>
        <v>*</v>
      </c>
      <c r="BZ66" s="258" t="s">
        <v>692</v>
      </c>
      <c r="CA66" s="258" t="s">
        <v>693</v>
      </c>
      <c r="CB66" s="261" t="e">
        <f t="shared" si="12"/>
        <v>#VALUE!</v>
      </c>
      <c r="CC66" s="409">
        <f t="shared" si="13"/>
        <v>9</v>
      </c>
      <c r="CD66" s="409">
        <f t="shared" si="14"/>
        <v>0</v>
      </c>
      <c r="CE66" s="409" t="e">
        <f t="shared" si="15"/>
        <v>#VALUE!</v>
      </c>
      <c r="CF66" s="409" t="e">
        <f t="shared" si="16"/>
        <v>#VALUE!</v>
      </c>
      <c r="CG66" s="409" t="e">
        <f t="shared" si="17"/>
        <v>#VALUE!</v>
      </c>
      <c r="CH66" s="409">
        <f t="shared" si="18"/>
        <v>0</v>
      </c>
      <c r="CI66" s="409">
        <f t="shared" si="19"/>
        <v>0</v>
      </c>
      <c r="CJ66" s="409" t="str">
        <f t="shared" si="20"/>
        <v>*</v>
      </c>
      <c r="CK66" s="372">
        <f t="shared" si="21"/>
        <v>0</v>
      </c>
      <c r="CM66" s="258" t="s">
        <v>692</v>
      </c>
      <c r="CN66" s="258" t="s">
        <v>693</v>
      </c>
      <c r="CO66" s="5" t="e">
        <f t="shared" si="22"/>
        <v>#VALUE!</v>
      </c>
      <c r="CP66" s="5">
        <f t="shared" si="23"/>
        <v>7.9225352112676055E-3</v>
      </c>
      <c r="CQ66" s="5">
        <f t="shared" si="24"/>
        <v>0</v>
      </c>
      <c r="CR66" s="5" t="e">
        <f t="shared" si="25"/>
        <v>#VALUE!</v>
      </c>
      <c r="CS66" s="5" t="e">
        <f t="shared" si="26"/>
        <v>#VALUE!</v>
      </c>
      <c r="CT66" s="5" t="e">
        <f t="shared" si="27"/>
        <v>#VALUE!</v>
      </c>
      <c r="CU66" s="5">
        <f t="shared" si="28"/>
        <v>0</v>
      </c>
      <c r="CV66" s="5">
        <f t="shared" si="29"/>
        <v>0</v>
      </c>
      <c r="CW66" s="5">
        <f t="shared" si="30"/>
        <v>0</v>
      </c>
      <c r="CX66" s="5" t="e">
        <f t="shared" si="31"/>
        <v>#VALUE!</v>
      </c>
      <c r="CZ66" s="447" t="s">
        <v>692</v>
      </c>
      <c r="DA66" s="447" t="s">
        <v>693</v>
      </c>
      <c r="DB66" s="18" t="e">
        <f t="shared" si="32"/>
        <v>#VALUE!</v>
      </c>
      <c r="DC66" s="18" t="e">
        <f t="shared" si="33"/>
        <v>#DIV/0!</v>
      </c>
      <c r="DD66" s="18" t="e">
        <f t="shared" si="43"/>
        <v>#VALUE!</v>
      </c>
      <c r="DE66" s="18" t="e">
        <f t="shared" si="35"/>
        <v>#VALUE!</v>
      </c>
      <c r="DF66" s="18" t="e">
        <f t="shared" si="36"/>
        <v>#VALUE!</v>
      </c>
      <c r="DG66" s="18" t="e">
        <f t="shared" si="37"/>
        <v>#DIV/0!</v>
      </c>
      <c r="DH66" s="18" t="e">
        <f t="shared" si="38"/>
        <v>#DIV/0!</v>
      </c>
      <c r="DI66" s="18" t="e">
        <f t="shared" si="39"/>
        <v>#DIV/0!</v>
      </c>
      <c r="DJ66" s="18" t="e">
        <f t="shared" si="40"/>
        <v>#VALUE!</v>
      </c>
    </row>
    <row r="67" spans="1:114" ht="35.65">
      <c r="A67" s="371" t="s">
        <v>694</v>
      </c>
      <c r="B67" s="371" t="s">
        <v>695</v>
      </c>
      <c r="C67" s="362">
        <v>12</v>
      </c>
      <c r="D67" s="362">
        <v>6</v>
      </c>
      <c r="E67" s="362">
        <v>0</v>
      </c>
      <c r="F67" s="362" t="s">
        <v>611</v>
      </c>
      <c r="G67" s="362">
        <v>5</v>
      </c>
      <c r="H67" s="362" t="s">
        <v>611</v>
      </c>
      <c r="I67" s="372" t="e">
        <f t="shared" si="44"/>
        <v>#VALUE!</v>
      </c>
      <c r="J67" s="362">
        <v>0</v>
      </c>
      <c r="K67" s="362">
        <v>0</v>
      </c>
      <c r="L67" s="362">
        <v>1</v>
      </c>
      <c r="M67" s="372">
        <f t="shared" si="45"/>
        <v>1</v>
      </c>
      <c r="N67" s="262"/>
      <c r="P67" s="258" t="s">
        <v>694</v>
      </c>
      <c r="Q67" s="258" t="s">
        <v>695</v>
      </c>
      <c r="R67" s="125">
        <v>0</v>
      </c>
      <c r="S67" s="125">
        <v>0</v>
      </c>
      <c r="T67" s="125">
        <v>0</v>
      </c>
      <c r="U67" s="125">
        <v>0</v>
      </c>
      <c r="V67" s="125">
        <v>0</v>
      </c>
      <c r="W67" s="125">
        <v>0</v>
      </c>
      <c r="X67" s="125">
        <v>0</v>
      </c>
      <c r="Y67" s="125">
        <v>0</v>
      </c>
      <c r="Z67" s="125"/>
      <c r="AB67" s="258" t="s">
        <v>694</v>
      </c>
      <c r="AC67" s="258" t="s">
        <v>695</v>
      </c>
      <c r="AD67" s="125">
        <v>12</v>
      </c>
      <c r="AE67" s="125">
        <v>6</v>
      </c>
      <c r="AF67" s="125">
        <v>0</v>
      </c>
      <c r="AG67" s="125" t="s">
        <v>611</v>
      </c>
      <c r="AH67" s="125">
        <v>5</v>
      </c>
      <c r="AI67" s="125" t="s">
        <v>611</v>
      </c>
      <c r="AJ67" s="125">
        <v>0</v>
      </c>
      <c r="AK67" s="125">
        <v>0</v>
      </c>
      <c r="AL67" s="125">
        <v>1</v>
      </c>
      <c r="AO67" s="258" t="s">
        <v>694</v>
      </c>
      <c r="AP67" s="258" t="s">
        <v>695</v>
      </c>
      <c r="AQ67" s="125">
        <v>12</v>
      </c>
      <c r="AR67" s="306"/>
      <c r="AS67" s="125">
        <v>0</v>
      </c>
      <c r="AT67" s="125" t="s">
        <v>611</v>
      </c>
      <c r="AU67" s="125">
        <v>5</v>
      </c>
      <c r="AV67" s="125" t="s">
        <v>611</v>
      </c>
      <c r="AW67" s="125">
        <v>0</v>
      </c>
      <c r="AX67" s="125">
        <v>0</v>
      </c>
      <c r="AY67" s="306"/>
      <c r="BB67" s="258" t="s">
        <v>694</v>
      </c>
      <c r="BC67" s="258" t="s">
        <v>695</v>
      </c>
      <c r="BD67" s="125" t="s">
        <v>611</v>
      </c>
      <c r="BE67" s="125">
        <v>0</v>
      </c>
      <c r="BF67" s="125">
        <v>0</v>
      </c>
      <c r="BG67" s="125">
        <v>0</v>
      </c>
      <c r="BH67" s="125">
        <v>0</v>
      </c>
      <c r="BI67" s="125">
        <v>0</v>
      </c>
      <c r="BJ67" s="125" t="s">
        <v>611</v>
      </c>
      <c r="BK67" s="261"/>
      <c r="BL67" s="261"/>
      <c r="BM67" s="258" t="s">
        <v>694</v>
      </c>
      <c r="BN67" s="258" t="s">
        <v>695</v>
      </c>
      <c r="BO67" s="261" t="e">
        <f t="shared" si="3"/>
        <v>#VALUE!</v>
      </c>
      <c r="BP67" s="261">
        <f t="shared" si="4"/>
        <v>6</v>
      </c>
      <c r="BQ67" s="261" t="e">
        <f t="shared" si="5"/>
        <v>#VALUE!</v>
      </c>
      <c r="BR67" s="261" t="e">
        <f t="shared" si="6"/>
        <v>#VALUE!</v>
      </c>
      <c r="BS67" s="261">
        <f t="shared" si="7"/>
        <v>5</v>
      </c>
      <c r="BT67" s="261" t="e">
        <f t="shared" si="8"/>
        <v>#VALUE!</v>
      </c>
      <c r="BU67" s="261">
        <f t="shared" si="9"/>
        <v>0</v>
      </c>
      <c r="BV67" s="261">
        <f t="shared" si="10"/>
        <v>0</v>
      </c>
      <c r="BW67" s="125">
        <f t="shared" si="46"/>
        <v>0</v>
      </c>
      <c r="BZ67" s="258" t="s">
        <v>694</v>
      </c>
      <c r="CA67" s="258" t="s">
        <v>695</v>
      </c>
      <c r="CB67" s="261" t="e">
        <f t="shared" si="12"/>
        <v>#VALUE!</v>
      </c>
      <c r="CC67" s="409">
        <f t="shared" si="13"/>
        <v>6</v>
      </c>
      <c r="CD67" s="409">
        <f t="shared" si="14"/>
        <v>0</v>
      </c>
      <c r="CE67" s="409" t="e">
        <f t="shared" si="15"/>
        <v>#VALUE!</v>
      </c>
      <c r="CF67" s="409">
        <f t="shared" si="16"/>
        <v>5</v>
      </c>
      <c r="CG67" s="409" t="e">
        <f t="shared" si="17"/>
        <v>#VALUE!</v>
      </c>
      <c r="CH67" s="409">
        <f t="shared" si="18"/>
        <v>0</v>
      </c>
      <c r="CI67" s="409">
        <f t="shared" si="19"/>
        <v>0</v>
      </c>
      <c r="CJ67" s="409">
        <f t="shared" si="20"/>
        <v>0</v>
      </c>
      <c r="CK67" s="372">
        <f t="shared" si="21"/>
        <v>0</v>
      </c>
      <c r="CM67" s="258" t="s">
        <v>694</v>
      </c>
      <c r="CN67" s="258" t="s">
        <v>695</v>
      </c>
      <c r="CO67" s="5" t="e">
        <f t="shared" si="22"/>
        <v>#VALUE!</v>
      </c>
      <c r="CP67" s="5">
        <f t="shared" si="23"/>
        <v>5.2816901408450703E-3</v>
      </c>
      <c r="CQ67" s="5">
        <f t="shared" si="24"/>
        <v>0</v>
      </c>
      <c r="CR67" s="5" t="e">
        <f t="shared" si="25"/>
        <v>#VALUE!</v>
      </c>
      <c r="CS67" s="5">
        <f t="shared" si="26"/>
        <v>1.450536698578474E-3</v>
      </c>
      <c r="CT67" s="5" t="e">
        <f t="shared" si="27"/>
        <v>#VALUE!</v>
      </c>
      <c r="CU67" s="5">
        <f t="shared" si="28"/>
        <v>0</v>
      </c>
      <c r="CV67" s="5">
        <f t="shared" si="29"/>
        <v>0</v>
      </c>
      <c r="CW67" s="5">
        <f t="shared" si="30"/>
        <v>0</v>
      </c>
      <c r="CX67" s="5">
        <f t="shared" si="31"/>
        <v>0</v>
      </c>
      <c r="CZ67" s="447" t="s">
        <v>694</v>
      </c>
      <c r="DA67" s="447" t="s">
        <v>695</v>
      </c>
      <c r="DB67" s="18" t="e">
        <f t="shared" si="32"/>
        <v>#VALUE!</v>
      </c>
      <c r="DC67" s="18" t="e">
        <f t="shared" si="33"/>
        <v>#DIV/0!</v>
      </c>
      <c r="DD67" s="18" t="e">
        <f t="shared" si="43"/>
        <v>#VALUE!</v>
      </c>
      <c r="DE67" s="18">
        <f t="shared" si="35"/>
        <v>0</v>
      </c>
      <c r="DF67" s="18" t="e">
        <f t="shared" si="36"/>
        <v>#VALUE!</v>
      </c>
      <c r="DG67" s="18" t="e">
        <f t="shared" si="37"/>
        <v>#DIV/0!</v>
      </c>
      <c r="DH67" s="18" t="e">
        <f t="shared" si="38"/>
        <v>#DIV/0!</v>
      </c>
      <c r="DI67" s="18" t="e">
        <f t="shared" si="39"/>
        <v>#DIV/0!</v>
      </c>
      <c r="DJ67" s="18" t="e">
        <f t="shared" si="40"/>
        <v>#DIV/0!</v>
      </c>
    </row>
    <row r="68" spans="1:114" ht="47.25">
      <c r="A68" s="371" t="s">
        <v>696</v>
      </c>
      <c r="B68" s="371" t="s">
        <v>697</v>
      </c>
      <c r="C68" s="362">
        <v>2</v>
      </c>
      <c r="D68" s="362">
        <v>1</v>
      </c>
      <c r="E68" s="362">
        <v>0</v>
      </c>
      <c r="F68" s="362" t="s">
        <v>611</v>
      </c>
      <c r="G68" s="362">
        <v>1</v>
      </c>
      <c r="H68" s="362" t="s">
        <v>611</v>
      </c>
      <c r="I68" s="372" t="e">
        <f t="shared" si="44"/>
        <v>#VALUE!</v>
      </c>
      <c r="J68" s="362">
        <v>0</v>
      </c>
      <c r="K68" s="362">
        <v>0</v>
      </c>
      <c r="L68" s="362" t="s">
        <v>611</v>
      </c>
      <c r="M68" s="372" t="e">
        <f t="shared" si="45"/>
        <v>#VALUE!</v>
      </c>
      <c r="N68" s="262"/>
      <c r="P68" s="258" t="s">
        <v>696</v>
      </c>
      <c r="Q68" s="258" t="s">
        <v>697</v>
      </c>
      <c r="R68" s="125" t="s">
        <v>611</v>
      </c>
      <c r="S68" s="125">
        <v>0</v>
      </c>
      <c r="T68" s="125">
        <v>0</v>
      </c>
      <c r="U68" s="125">
        <v>0</v>
      </c>
      <c r="V68" s="125">
        <v>0</v>
      </c>
      <c r="W68" s="125">
        <v>0</v>
      </c>
      <c r="X68" s="125">
        <v>0</v>
      </c>
      <c r="Y68" s="125" t="s">
        <v>611</v>
      </c>
      <c r="Z68" s="125"/>
      <c r="AB68" s="258" t="s">
        <v>696</v>
      </c>
      <c r="AC68" s="258" t="s">
        <v>697</v>
      </c>
      <c r="AD68" s="125">
        <v>2</v>
      </c>
      <c r="AE68" s="125">
        <v>1</v>
      </c>
      <c r="AF68" s="125">
        <v>0</v>
      </c>
      <c r="AG68" s="125" t="s">
        <v>611</v>
      </c>
      <c r="AH68" s="125">
        <v>1</v>
      </c>
      <c r="AI68" s="125" t="s">
        <v>611</v>
      </c>
      <c r="AJ68" s="125">
        <v>0</v>
      </c>
      <c r="AK68" s="125">
        <v>0</v>
      </c>
      <c r="AL68" s="125" t="s">
        <v>611</v>
      </c>
      <c r="AO68" s="258" t="s">
        <v>696</v>
      </c>
      <c r="AP68" s="258" t="s">
        <v>697</v>
      </c>
      <c r="AQ68" s="125">
        <v>2</v>
      </c>
      <c r="AR68" s="125">
        <v>1</v>
      </c>
      <c r="AS68" s="125">
        <v>0</v>
      </c>
      <c r="AT68" s="125" t="s">
        <v>611</v>
      </c>
      <c r="AU68" s="125">
        <v>1</v>
      </c>
      <c r="AV68" s="125" t="s">
        <v>611</v>
      </c>
      <c r="AW68" s="125">
        <v>0</v>
      </c>
      <c r="AX68" s="125">
        <v>0</v>
      </c>
      <c r="AY68" s="125"/>
      <c r="BB68" s="258" t="s">
        <v>696</v>
      </c>
      <c r="BC68" s="258" t="s">
        <v>697</v>
      </c>
      <c r="BD68" s="125" t="s">
        <v>611</v>
      </c>
      <c r="BE68" s="125">
        <v>0</v>
      </c>
      <c r="BF68" s="125" t="s">
        <v>611</v>
      </c>
      <c r="BG68" s="125">
        <v>0</v>
      </c>
      <c r="BH68" s="125">
        <v>0</v>
      </c>
      <c r="BI68" s="125">
        <v>0</v>
      </c>
      <c r="BJ68" s="125">
        <v>0</v>
      </c>
      <c r="BK68" s="261"/>
      <c r="BL68" s="261"/>
      <c r="BM68" s="258" t="s">
        <v>696</v>
      </c>
      <c r="BN68" s="258" t="s">
        <v>697</v>
      </c>
      <c r="BO68" s="261" t="e">
        <f t="shared" si="3"/>
        <v>#VALUE!</v>
      </c>
      <c r="BP68" s="261">
        <f t="shared" si="4"/>
        <v>1</v>
      </c>
      <c r="BQ68" s="261">
        <f t="shared" si="5"/>
        <v>0</v>
      </c>
      <c r="BR68" s="261" t="e">
        <f t="shared" si="6"/>
        <v>#VALUE!</v>
      </c>
      <c r="BS68" s="261">
        <f t="shared" si="7"/>
        <v>1</v>
      </c>
      <c r="BT68" s="261" t="e">
        <f t="shared" si="8"/>
        <v>#VALUE!</v>
      </c>
      <c r="BU68" s="261">
        <f t="shared" si="9"/>
        <v>0</v>
      </c>
      <c r="BV68" s="261">
        <f t="shared" si="10"/>
        <v>0</v>
      </c>
      <c r="BW68" s="125">
        <f t="shared" si="46"/>
        <v>0</v>
      </c>
      <c r="BZ68" s="258" t="s">
        <v>696</v>
      </c>
      <c r="CA68" s="258" t="s">
        <v>697</v>
      </c>
      <c r="CB68" s="261" t="e">
        <f t="shared" si="12"/>
        <v>#VALUE!</v>
      </c>
      <c r="CC68" s="409">
        <f t="shared" si="13"/>
        <v>1</v>
      </c>
      <c r="CD68" s="409">
        <f t="shared" si="14"/>
        <v>0</v>
      </c>
      <c r="CE68" s="409" t="e">
        <f t="shared" si="15"/>
        <v>#VALUE!</v>
      </c>
      <c r="CF68" s="409">
        <f t="shared" si="16"/>
        <v>1</v>
      </c>
      <c r="CG68" s="409" t="e">
        <f t="shared" si="17"/>
        <v>#VALUE!</v>
      </c>
      <c r="CH68" s="409">
        <f t="shared" si="18"/>
        <v>0</v>
      </c>
      <c r="CI68" s="409">
        <f t="shared" si="19"/>
        <v>0</v>
      </c>
      <c r="CJ68" s="409">
        <f t="shared" si="20"/>
        <v>0</v>
      </c>
      <c r="CK68" s="372">
        <f t="shared" si="21"/>
        <v>0</v>
      </c>
      <c r="CM68" s="258" t="s">
        <v>696</v>
      </c>
      <c r="CN68" s="258" t="s">
        <v>697</v>
      </c>
      <c r="CO68" s="5" t="e">
        <f t="shared" si="22"/>
        <v>#VALUE!</v>
      </c>
      <c r="CP68" s="5">
        <f t="shared" si="23"/>
        <v>8.8028169014084509E-4</v>
      </c>
      <c r="CQ68" s="5">
        <f t="shared" si="24"/>
        <v>0</v>
      </c>
      <c r="CR68" s="5" t="e">
        <f t="shared" si="25"/>
        <v>#VALUE!</v>
      </c>
      <c r="CS68" s="5">
        <f t="shared" si="26"/>
        <v>2.9010733971569482E-4</v>
      </c>
      <c r="CT68" s="5" t="e">
        <f t="shared" si="27"/>
        <v>#VALUE!</v>
      </c>
      <c r="CU68" s="5">
        <f t="shared" si="28"/>
        <v>0</v>
      </c>
      <c r="CV68" s="5">
        <f t="shared" si="29"/>
        <v>0</v>
      </c>
      <c r="CW68" s="5">
        <f t="shared" si="30"/>
        <v>0</v>
      </c>
      <c r="CX68" s="5">
        <f t="shared" si="31"/>
        <v>0</v>
      </c>
      <c r="CZ68" s="447" t="s">
        <v>696</v>
      </c>
      <c r="DA68" s="447" t="s">
        <v>697</v>
      </c>
      <c r="DB68" s="18" t="e">
        <f t="shared" si="32"/>
        <v>#VALUE!</v>
      </c>
      <c r="DC68" s="18" t="e">
        <f t="shared" si="33"/>
        <v>#DIV/0!</v>
      </c>
      <c r="DD68" s="18" t="e">
        <f t="shared" si="43"/>
        <v>#VALUE!</v>
      </c>
      <c r="DE68" s="18">
        <f t="shared" si="35"/>
        <v>0</v>
      </c>
      <c r="DF68" s="18" t="e">
        <f t="shared" si="36"/>
        <v>#VALUE!</v>
      </c>
      <c r="DG68" s="18" t="e">
        <f t="shared" si="37"/>
        <v>#DIV/0!</v>
      </c>
      <c r="DH68" s="18" t="e">
        <f t="shared" si="38"/>
        <v>#DIV/0!</v>
      </c>
      <c r="DI68" s="18" t="e">
        <f t="shared" si="39"/>
        <v>#DIV/0!</v>
      </c>
      <c r="DJ68" s="18" t="e">
        <f t="shared" si="40"/>
        <v>#DIV/0!</v>
      </c>
    </row>
    <row r="69" spans="1:114" s="300" customFormat="1" ht="35.65">
      <c r="A69" s="375" t="s">
        <v>698</v>
      </c>
      <c r="B69" s="375" t="s">
        <v>699</v>
      </c>
      <c r="C69" s="364">
        <v>128</v>
      </c>
      <c r="D69" s="364">
        <v>80</v>
      </c>
      <c r="E69" s="364">
        <v>0</v>
      </c>
      <c r="F69" s="364"/>
      <c r="G69" s="364">
        <v>38</v>
      </c>
      <c r="H69" s="364">
        <v>2</v>
      </c>
      <c r="I69" s="376">
        <f t="shared" si="44"/>
        <v>2</v>
      </c>
      <c r="J69" s="364"/>
      <c r="K69" s="364">
        <v>0</v>
      </c>
      <c r="L69" s="364"/>
      <c r="M69" s="376">
        <f t="shared" si="45"/>
        <v>0</v>
      </c>
      <c r="N69" s="299"/>
      <c r="P69" s="218" t="s">
        <v>698</v>
      </c>
      <c r="Q69" s="218" t="s">
        <v>699</v>
      </c>
      <c r="R69" s="219"/>
      <c r="S69" s="219">
        <v>0</v>
      </c>
      <c r="T69" s="219">
        <v>0</v>
      </c>
      <c r="U69" s="219"/>
      <c r="V69" s="219"/>
      <c r="W69" s="219">
        <v>0</v>
      </c>
      <c r="X69" s="219">
        <v>0</v>
      </c>
      <c r="Y69" s="219"/>
      <c r="Z69" s="219"/>
      <c r="AB69" s="218" t="s">
        <v>698</v>
      </c>
      <c r="AC69" s="218" t="s">
        <v>699</v>
      </c>
      <c r="AD69" s="219">
        <v>127</v>
      </c>
      <c r="AE69" s="219">
        <v>80</v>
      </c>
      <c r="AF69" s="219">
        <v>0</v>
      </c>
      <c r="AG69" s="219"/>
      <c r="AH69" s="219">
        <v>38</v>
      </c>
      <c r="AI69" s="219">
        <v>2</v>
      </c>
      <c r="AJ69" s="219"/>
      <c r="AK69" s="219">
        <v>0</v>
      </c>
      <c r="AL69" s="219"/>
      <c r="AO69" s="218" t="s">
        <v>698</v>
      </c>
      <c r="AP69" s="218" t="s">
        <v>699</v>
      </c>
      <c r="AQ69" s="219">
        <v>126</v>
      </c>
      <c r="AR69" s="219">
        <v>80</v>
      </c>
      <c r="AS69" s="219">
        <v>0</v>
      </c>
      <c r="AT69" s="219"/>
      <c r="AU69" s="219">
        <v>38</v>
      </c>
      <c r="AV69" s="219">
        <v>2</v>
      </c>
      <c r="AW69" s="219"/>
      <c r="AX69" s="219">
        <v>0</v>
      </c>
      <c r="AY69" s="219"/>
      <c r="BB69" s="218" t="s">
        <v>698</v>
      </c>
      <c r="BC69" s="218" t="s">
        <v>699</v>
      </c>
      <c r="BD69" s="219"/>
      <c r="BE69" s="219">
        <v>0</v>
      </c>
      <c r="BF69" s="219">
        <v>0</v>
      </c>
      <c r="BG69" s="219">
        <v>0</v>
      </c>
      <c r="BH69" s="219">
        <v>0</v>
      </c>
      <c r="BI69" s="219"/>
      <c r="BJ69" s="219"/>
      <c r="BK69" s="301"/>
      <c r="BL69" s="301"/>
      <c r="BM69" s="218" t="s">
        <v>698</v>
      </c>
      <c r="BN69" s="218" t="s">
        <v>699</v>
      </c>
      <c r="BO69" s="301">
        <f t="shared" si="3"/>
        <v>120</v>
      </c>
      <c r="BP69" s="301">
        <f t="shared" si="4"/>
        <v>80</v>
      </c>
      <c r="BQ69" s="301">
        <f t="shared" si="5"/>
        <v>0</v>
      </c>
      <c r="BR69" s="301">
        <f t="shared" si="6"/>
        <v>0</v>
      </c>
      <c r="BS69" s="301">
        <f t="shared" si="7"/>
        <v>38</v>
      </c>
      <c r="BT69" s="301">
        <f t="shared" si="8"/>
        <v>2</v>
      </c>
      <c r="BU69" s="301">
        <f t="shared" si="9"/>
        <v>0</v>
      </c>
      <c r="BV69" s="301">
        <f t="shared" si="10"/>
        <v>0</v>
      </c>
      <c r="BW69" s="219">
        <f>BI69</f>
        <v>0</v>
      </c>
      <c r="BZ69" s="218" t="s">
        <v>698</v>
      </c>
      <c r="CA69" s="218" t="s">
        <v>699</v>
      </c>
      <c r="CB69" s="301">
        <f t="shared" si="12"/>
        <v>120</v>
      </c>
      <c r="CC69" s="411">
        <f t="shared" si="13"/>
        <v>80</v>
      </c>
      <c r="CD69" s="411">
        <f t="shared" si="14"/>
        <v>0</v>
      </c>
      <c r="CE69" s="411">
        <f t="shared" si="15"/>
        <v>0</v>
      </c>
      <c r="CF69" s="411">
        <f t="shared" si="16"/>
        <v>38</v>
      </c>
      <c r="CG69" s="411">
        <f t="shared" si="17"/>
        <v>2</v>
      </c>
      <c r="CH69" s="411">
        <f t="shared" si="18"/>
        <v>0</v>
      </c>
      <c r="CI69" s="411">
        <f t="shared" si="19"/>
        <v>0</v>
      </c>
      <c r="CJ69" s="411">
        <f t="shared" si="20"/>
        <v>0</v>
      </c>
      <c r="CK69" s="413">
        <v>0</v>
      </c>
      <c r="CM69" s="218" t="s">
        <v>698</v>
      </c>
      <c r="CN69" s="218" t="s">
        <v>699</v>
      </c>
      <c r="CO69" s="300">
        <f t="shared" si="22"/>
        <v>1.3097576948264571E-2</v>
      </c>
      <c r="CP69" s="300">
        <f t="shared" si="23"/>
        <v>7.0422535211267609E-2</v>
      </c>
      <c r="CQ69" s="300">
        <f t="shared" si="24"/>
        <v>0</v>
      </c>
      <c r="CR69" s="300">
        <f t="shared" si="25"/>
        <v>0</v>
      </c>
      <c r="CS69" s="300">
        <f t="shared" si="26"/>
        <v>1.1024078909196402E-2</v>
      </c>
      <c r="CT69" s="300">
        <f t="shared" si="27"/>
        <v>6.5487884741322858E-4</v>
      </c>
      <c r="CU69" s="300">
        <f t="shared" si="28"/>
        <v>0</v>
      </c>
      <c r="CV69" s="300">
        <f t="shared" si="29"/>
        <v>0</v>
      </c>
      <c r="CW69" s="300">
        <f t="shared" si="30"/>
        <v>0</v>
      </c>
      <c r="CX69" s="300">
        <f t="shared" si="31"/>
        <v>0</v>
      </c>
      <c r="CZ69" s="450" t="s">
        <v>698</v>
      </c>
      <c r="DA69" s="450" t="s">
        <v>699</v>
      </c>
      <c r="DB69" s="453">
        <f t="shared" si="32"/>
        <v>0</v>
      </c>
      <c r="DC69" s="453">
        <v>0</v>
      </c>
      <c r="DD69" s="453">
        <v>0</v>
      </c>
      <c r="DE69" s="453">
        <f t="shared" si="35"/>
        <v>0</v>
      </c>
      <c r="DF69" s="453">
        <f t="shared" si="36"/>
        <v>0</v>
      </c>
      <c r="DG69" s="453">
        <v>0</v>
      </c>
      <c r="DH69" s="453">
        <v>0</v>
      </c>
      <c r="DI69" s="453">
        <v>0</v>
      </c>
      <c r="DJ69" s="453">
        <v>0</v>
      </c>
    </row>
    <row r="70" spans="1:114" ht="35.65">
      <c r="A70" s="371" t="s">
        <v>700</v>
      </c>
      <c r="B70" s="371" t="s">
        <v>701</v>
      </c>
      <c r="C70" s="362">
        <v>355</v>
      </c>
      <c r="D70" s="362">
        <v>56</v>
      </c>
      <c r="E70" s="362" t="s">
        <v>611</v>
      </c>
      <c r="F70" s="362">
        <v>8</v>
      </c>
      <c r="G70" s="362">
        <v>154</v>
      </c>
      <c r="H70" s="362">
        <v>2</v>
      </c>
      <c r="I70" s="372" t="e">
        <f t="shared" si="44"/>
        <v>#VALUE!</v>
      </c>
      <c r="J70" s="362">
        <v>100</v>
      </c>
      <c r="K70" s="362">
        <v>2</v>
      </c>
      <c r="L70" s="362">
        <v>33</v>
      </c>
      <c r="M70" s="372" t="e">
        <f t="shared" si="45"/>
        <v>#VALUE!</v>
      </c>
      <c r="N70" s="262"/>
      <c r="P70" s="258" t="s">
        <v>700</v>
      </c>
      <c r="Q70" s="258" t="s">
        <v>701</v>
      </c>
      <c r="R70" s="125" t="s">
        <v>611</v>
      </c>
      <c r="S70" s="125">
        <v>0</v>
      </c>
      <c r="T70" s="125" t="s">
        <v>611</v>
      </c>
      <c r="U70" s="125" t="s">
        <v>611</v>
      </c>
      <c r="V70" s="125" t="s">
        <v>611</v>
      </c>
      <c r="W70" s="125" t="s">
        <v>611</v>
      </c>
      <c r="X70" s="125">
        <v>0</v>
      </c>
      <c r="Y70" s="125" t="s">
        <v>611</v>
      </c>
      <c r="Z70" s="125"/>
      <c r="AB70" s="258" t="s">
        <v>700</v>
      </c>
      <c r="AC70" s="258" t="s">
        <v>701</v>
      </c>
      <c r="AD70" s="125">
        <v>354</v>
      </c>
      <c r="AE70" s="125">
        <v>56</v>
      </c>
      <c r="AF70" s="125" t="s">
        <v>611</v>
      </c>
      <c r="AG70" s="125">
        <v>8</v>
      </c>
      <c r="AH70" s="125">
        <v>154</v>
      </c>
      <c r="AI70" s="125">
        <v>2</v>
      </c>
      <c r="AJ70" s="125">
        <v>99</v>
      </c>
      <c r="AK70" s="125">
        <v>2</v>
      </c>
      <c r="AL70" s="125">
        <v>33</v>
      </c>
      <c r="AO70" s="258" t="s">
        <v>700</v>
      </c>
      <c r="AP70" s="258" t="s">
        <v>701</v>
      </c>
      <c r="AQ70" s="125">
        <v>355</v>
      </c>
      <c r="AR70" s="125" t="s">
        <v>669</v>
      </c>
      <c r="AS70" s="125" t="s">
        <v>611</v>
      </c>
      <c r="AT70" s="125">
        <v>8</v>
      </c>
      <c r="AU70" s="125" t="s">
        <v>669</v>
      </c>
      <c r="AV70" s="125">
        <v>2</v>
      </c>
      <c r="AW70" s="125">
        <v>99</v>
      </c>
      <c r="AX70" s="125">
        <v>2</v>
      </c>
      <c r="AY70" s="125" t="s">
        <v>669</v>
      </c>
      <c r="BB70" s="258" t="s">
        <v>700</v>
      </c>
      <c r="BC70" s="258" t="s">
        <v>701</v>
      </c>
      <c r="BD70" s="125">
        <v>20</v>
      </c>
      <c r="BE70" s="125">
        <v>0</v>
      </c>
      <c r="BF70" s="125" t="s">
        <v>611</v>
      </c>
      <c r="BG70" s="125">
        <v>15</v>
      </c>
      <c r="BH70" s="125">
        <v>0</v>
      </c>
      <c r="BI70" s="125">
        <v>2</v>
      </c>
      <c r="BJ70" s="125">
        <v>3</v>
      </c>
      <c r="BK70" s="261"/>
      <c r="BL70" s="261"/>
      <c r="BM70" s="258" t="s">
        <v>700</v>
      </c>
      <c r="BN70" s="258" t="s">
        <v>701</v>
      </c>
      <c r="BO70" s="261" t="e">
        <f t="shared" si="3"/>
        <v>#VALUE!</v>
      </c>
      <c r="BP70" s="261">
        <f t="shared" si="4"/>
        <v>56</v>
      </c>
      <c r="BQ70" s="261" t="e">
        <f t="shared" si="5"/>
        <v>#VALUE!</v>
      </c>
      <c r="BR70" s="261" t="e">
        <f t="shared" si="6"/>
        <v>#VALUE!</v>
      </c>
      <c r="BS70" s="261" t="e">
        <f t="shared" si="7"/>
        <v>#VALUE!</v>
      </c>
      <c r="BT70" s="261" t="e">
        <f t="shared" si="8"/>
        <v>#VALUE!</v>
      </c>
      <c r="BU70" s="261" t="e">
        <f t="shared" si="9"/>
        <v>#VALUE!</v>
      </c>
      <c r="BV70" s="261">
        <f t="shared" si="10"/>
        <v>2</v>
      </c>
      <c r="BW70" s="125">
        <f>BI70</f>
        <v>2</v>
      </c>
      <c r="BZ70" s="258" t="s">
        <v>700</v>
      </c>
      <c r="CA70" s="258" t="s">
        <v>701</v>
      </c>
      <c r="CB70" s="261" t="e">
        <f t="shared" si="12"/>
        <v>#VALUE!</v>
      </c>
      <c r="CC70" s="409">
        <f t="shared" si="13"/>
        <v>56</v>
      </c>
      <c r="CD70" s="409" t="e">
        <f t="shared" si="14"/>
        <v>#VALUE!</v>
      </c>
      <c r="CE70" s="409" t="e">
        <f t="shared" si="15"/>
        <v>#VALUE!</v>
      </c>
      <c r="CF70" s="409" t="e">
        <f t="shared" si="16"/>
        <v>#VALUE!</v>
      </c>
      <c r="CG70" s="409" t="e">
        <f t="shared" si="17"/>
        <v>#VALUE!</v>
      </c>
      <c r="CH70" s="409" t="e">
        <f t="shared" si="18"/>
        <v>#VALUE!</v>
      </c>
      <c r="CI70" s="409">
        <f t="shared" si="19"/>
        <v>2</v>
      </c>
      <c r="CJ70" s="409">
        <f t="shared" si="20"/>
        <v>2</v>
      </c>
      <c r="CK70" s="372">
        <f t="shared" si="21"/>
        <v>0</v>
      </c>
      <c r="CM70" s="258" t="s">
        <v>700</v>
      </c>
      <c r="CN70" s="258" t="s">
        <v>701</v>
      </c>
      <c r="CO70" s="5" t="e">
        <f t="shared" si="22"/>
        <v>#VALUE!</v>
      </c>
      <c r="CP70" s="5">
        <f t="shared" si="23"/>
        <v>4.9295774647887321E-2</v>
      </c>
      <c r="CQ70" s="5" t="e">
        <f t="shared" si="24"/>
        <v>#VALUE!</v>
      </c>
      <c r="CR70" s="5" t="e">
        <f t="shared" si="25"/>
        <v>#VALUE!</v>
      </c>
      <c r="CS70" s="5" t="e">
        <f t="shared" si="26"/>
        <v>#VALUE!</v>
      </c>
      <c r="CT70" s="5" t="e">
        <f t="shared" si="27"/>
        <v>#VALUE!</v>
      </c>
      <c r="CU70" s="5" t="e">
        <f t="shared" si="28"/>
        <v>#VALUE!</v>
      </c>
      <c r="CV70" s="5">
        <f t="shared" si="29"/>
        <v>6.0606060606060608E-2</v>
      </c>
      <c r="CW70" s="5" t="e">
        <f t="shared" si="30"/>
        <v>#VALUE!</v>
      </c>
      <c r="CX70" s="5">
        <f t="shared" si="31"/>
        <v>4.6948356807511738E-3</v>
      </c>
      <c r="CZ70" s="447" t="s">
        <v>700</v>
      </c>
      <c r="DA70" s="447" t="s">
        <v>701</v>
      </c>
      <c r="DB70" s="18" t="e">
        <f t="shared" si="32"/>
        <v>#VALUE!</v>
      </c>
      <c r="DC70" s="18" t="e">
        <f t="shared" si="33"/>
        <v>#VALUE!</v>
      </c>
      <c r="DD70" s="18" t="e">
        <f t="shared" si="43"/>
        <v>#VALUE!</v>
      </c>
      <c r="DE70" s="18" t="e">
        <f t="shared" si="35"/>
        <v>#VALUE!</v>
      </c>
      <c r="DF70" s="18" t="e">
        <f t="shared" si="36"/>
        <v>#VALUE!</v>
      </c>
      <c r="DG70" s="18" t="e">
        <f t="shared" si="37"/>
        <v>#VALUE!</v>
      </c>
      <c r="DH70" s="18">
        <f t="shared" si="38"/>
        <v>0</v>
      </c>
      <c r="DI70" s="18" t="e">
        <f t="shared" si="39"/>
        <v>#VALUE!</v>
      </c>
      <c r="DJ70" s="18">
        <f t="shared" si="40"/>
        <v>0</v>
      </c>
    </row>
    <row r="71" spans="1:114" ht="35.65">
      <c r="A71" s="371" t="s">
        <v>702</v>
      </c>
      <c r="B71" s="371" t="s">
        <v>703</v>
      </c>
      <c r="C71" s="362">
        <v>27</v>
      </c>
      <c r="D71" s="362">
        <v>3</v>
      </c>
      <c r="E71" s="362" t="s">
        <v>611</v>
      </c>
      <c r="F71" s="362" t="s">
        <v>611</v>
      </c>
      <c r="G71" s="362">
        <v>22</v>
      </c>
      <c r="H71" s="362" t="s">
        <v>611</v>
      </c>
      <c r="I71" s="372" t="e">
        <f t="shared" si="44"/>
        <v>#VALUE!</v>
      </c>
      <c r="J71" s="362">
        <v>1</v>
      </c>
      <c r="K71" s="362">
        <v>0</v>
      </c>
      <c r="L71" s="362">
        <v>1</v>
      </c>
      <c r="M71" s="372" t="e">
        <f t="shared" si="45"/>
        <v>#VALUE!</v>
      </c>
      <c r="N71" s="262"/>
      <c r="P71" s="258" t="s">
        <v>702</v>
      </c>
      <c r="Q71" s="258" t="s">
        <v>703</v>
      </c>
      <c r="R71" s="125" t="s">
        <v>611</v>
      </c>
      <c r="S71" s="125">
        <v>0</v>
      </c>
      <c r="T71" s="125" t="s">
        <v>611</v>
      </c>
      <c r="U71" s="125" t="s">
        <v>611</v>
      </c>
      <c r="V71" s="125" t="s">
        <v>611</v>
      </c>
      <c r="W71" s="125">
        <v>0</v>
      </c>
      <c r="X71" s="125">
        <v>0</v>
      </c>
      <c r="Y71" s="125" t="s">
        <v>611</v>
      </c>
      <c r="Z71" s="125"/>
      <c r="AB71" s="258" t="s">
        <v>702</v>
      </c>
      <c r="AC71" s="258" t="s">
        <v>703</v>
      </c>
      <c r="AD71" s="125">
        <v>27</v>
      </c>
      <c r="AE71" s="125">
        <v>3</v>
      </c>
      <c r="AF71" s="125" t="s">
        <v>611</v>
      </c>
      <c r="AG71" s="125" t="s">
        <v>611</v>
      </c>
      <c r="AH71" s="125">
        <v>22</v>
      </c>
      <c r="AI71" s="125" t="s">
        <v>611</v>
      </c>
      <c r="AJ71" s="125">
        <v>1</v>
      </c>
      <c r="AK71" s="125">
        <v>0</v>
      </c>
      <c r="AL71" s="125">
        <v>1</v>
      </c>
      <c r="AO71" s="258" t="s">
        <v>702</v>
      </c>
      <c r="AP71" s="258" t="s">
        <v>703</v>
      </c>
      <c r="AQ71" s="125">
        <v>26</v>
      </c>
      <c r="AR71" s="125" t="s">
        <v>669</v>
      </c>
      <c r="AS71" s="125" t="s">
        <v>611</v>
      </c>
      <c r="AT71" s="125" t="s">
        <v>611</v>
      </c>
      <c r="AU71" s="125" t="s">
        <v>669</v>
      </c>
      <c r="AV71" s="125" t="s">
        <v>611</v>
      </c>
      <c r="AW71" s="125">
        <v>1</v>
      </c>
      <c r="AX71" s="125">
        <v>0</v>
      </c>
      <c r="AY71" s="125" t="s">
        <v>669</v>
      </c>
      <c r="BB71" s="258" t="s">
        <v>702</v>
      </c>
      <c r="BC71" s="258" t="s">
        <v>703</v>
      </c>
      <c r="BD71" s="125">
        <v>0</v>
      </c>
      <c r="BE71" s="125">
        <v>0</v>
      </c>
      <c r="BF71" s="125">
        <v>0</v>
      </c>
      <c r="BG71" s="125">
        <v>0</v>
      </c>
      <c r="BH71" s="125">
        <v>0</v>
      </c>
      <c r="BI71" s="125">
        <v>0</v>
      </c>
      <c r="BJ71" s="125">
        <v>0</v>
      </c>
      <c r="BK71" s="261"/>
      <c r="BL71" s="261"/>
      <c r="BM71" s="258" t="s">
        <v>702</v>
      </c>
      <c r="BN71" s="258" t="s">
        <v>703</v>
      </c>
      <c r="BO71" s="261" t="e">
        <f t="shared" si="3"/>
        <v>#VALUE!</v>
      </c>
      <c r="BP71" s="261">
        <f t="shared" si="4"/>
        <v>3</v>
      </c>
      <c r="BQ71" s="261" t="e">
        <f t="shared" si="5"/>
        <v>#VALUE!</v>
      </c>
      <c r="BR71" s="261" t="e">
        <f t="shared" si="6"/>
        <v>#VALUE!</v>
      </c>
      <c r="BS71" s="261" t="e">
        <f t="shared" si="7"/>
        <v>#VALUE!</v>
      </c>
      <c r="BT71" s="261" t="e">
        <f t="shared" si="8"/>
        <v>#VALUE!</v>
      </c>
      <c r="BU71" s="261">
        <f t="shared" si="9"/>
        <v>1</v>
      </c>
      <c r="BV71" s="261">
        <f t="shared" si="10"/>
        <v>0</v>
      </c>
      <c r="BW71" s="125">
        <f t="shared" ref="BW71:BW75" si="47">BI71</f>
        <v>0</v>
      </c>
      <c r="BZ71" s="258" t="s">
        <v>702</v>
      </c>
      <c r="CA71" s="258" t="s">
        <v>703</v>
      </c>
      <c r="CB71" s="261" t="e">
        <f t="shared" si="12"/>
        <v>#VALUE!</v>
      </c>
      <c r="CC71" s="409">
        <f t="shared" si="13"/>
        <v>3</v>
      </c>
      <c r="CD71" s="409" t="e">
        <f t="shared" si="14"/>
        <v>#VALUE!</v>
      </c>
      <c r="CE71" s="409" t="e">
        <f t="shared" si="15"/>
        <v>#VALUE!</v>
      </c>
      <c r="CF71" s="409" t="e">
        <f t="shared" si="16"/>
        <v>#VALUE!</v>
      </c>
      <c r="CG71" s="409" t="e">
        <f t="shared" si="17"/>
        <v>#VALUE!</v>
      </c>
      <c r="CH71" s="409">
        <f t="shared" si="18"/>
        <v>1</v>
      </c>
      <c r="CI71" s="409">
        <f t="shared" si="19"/>
        <v>0</v>
      </c>
      <c r="CJ71" s="409">
        <f t="shared" si="20"/>
        <v>0</v>
      </c>
      <c r="CK71" s="372">
        <f t="shared" si="21"/>
        <v>0</v>
      </c>
      <c r="CM71" s="258" t="s">
        <v>702</v>
      </c>
      <c r="CN71" s="258" t="s">
        <v>703</v>
      </c>
      <c r="CO71" s="5" t="e">
        <f t="shared" si="22"/>
        <v>#VALUE!</v>
      </c>
      <c r="CP71" s="5">
        <f t="shared" si="23"/>
        <v>2.6408450704225352E-3</v>
      </c>
      <c r="CQ71" s="5" t="e">
        <f t="shared" si="24"/>
        <v>#VALUE!</v>
      </c>
      <c r="CR71" s="5" t="e">
        <f t="shared" si="25"/>
        <v>#VALUE!</v>
      </c>
      <c r="CS71" s="5" t="e">
        <f t="shared" si="26"/>
        <v>#VALUE!</v>
      </c>
      <c r="CT71" s="5" t="e">
        <f t="shared" si="27"/>
        <v>#VALUE!</v>
      </c>
      <c r="CU71" s="5">
        <f t="shared" si="28"/>
        <v>2.5839793281653748E-3</v>
      </c>
      <c r="CV71" s="5">
        <f t="shared" si="29"/>
        <v>0</v>
      </c>
      <c r="CW71" s="5">
        <f t="shared" si="30"/>
        <v>2.3809523809523812E-3</v>
      </c>
      <c r="CX71" s="5">
        <f t="shared" si="31"/>
        <v>0</v>
      </c>
      <c r="CZ71" s="447" t="s">
        <v>702</v>
      </c>
      <c r="DA71" s="447" t="s">
        <v>703</v>
      </c>
      <c r="DB71" s="18" t="e">
        <f t="shared" si="32"/>
        <v>#VALUE!</v>
      </c>
      <c r="DC71" s="18" t="e">
        <f t="shared" si="33"/>
        <v>#VALUE!</v>
      </c>
      <c r="DD71" s="18" t="e">
        <f t="shared" si="43"/>
        <v>#VALUE!</v>
      </c>
      <c r="DE71" s="18" t="e">
        <f t="shared" si="35"/>
        <v>#VALUE!</v>
      </c>
      <c r="DF71" s="18" t="e">
        <f t="shared" si="36"/>
        <v>#VALUE!</v>
      </c>
      <c r="DG71" s="18">
        <f t="shared" si="37"/>
        <v>0</v>
      </c>
      <c r="DH71" s="18" t="e">
        <f t="shared" si="38"/>
        <v>#DIV/0!</v>
      </c>
      <c r="DI71" s="18">
        <f t="shared" si="39"/>
        <v>0</v>
      </c>
      <c r="DJ71" s="18" t="e">
        <f t="shared" si="40"/>
        <v>#DIV/0!</v>
      </c>
    </row>
    <row r="72" spans="1:114">
      <c r="A72" s="371" t="s">
        <v>704</v>
      </c>
      <c r="B72" s="371" t="s">
        <v>705</v>
      </c>
      <c r="C72" s="362">
        <v>22</v>
      </c>
      <c r="D72" s="362">
        <v>2</v>
      </c>
      <c r="E72" s="362">
        <v>0</v>
      </c>
      <c r="F72" s="362" t="s">
        <v>611</v>
      </c>
      <c r="G72" s="362">
        <v>20</v>
      </c>
      <c r="H72" s="362" t="s">
        <v>611</v>
      </c>
      <c r="I72" s="372" t="e">
        <f t="shared" si="44"/>
        <v>#VALUE!</v>
      </c>
      <c r="J72" s="362">
        <v>0</v>
      </c>
      <c r="K72" s="362">
        <v>0</v>
      </c>
      <c r="L72" s="362" t="s">
        <v>611</v>
      </c>
      <c r="M72" s="372" t="e">
        <f t="shared" si="45"/>
        <v>#VALUE!</v>
      </c>
      <c r="N72" s="262"/>
      <c r="P72" s="258" t="s">
        <v>704</v>
      </c>
      <c r="Q72" s="258" t="s">
        <v>705</v>
      </c>
      <c r="R72" s="125" t="s">
        <v>611</v>
      </c>
      <c r="S72" s="125">
        <v>0</v>
      </c>
      <c r="T72" s="125">
        <v>0</v>
      </c>
      <c r="U72" s="125">
        <v>0</v>
      </c>
      <c r="V72" s="125">
        <v>0</v>
      </c>
      <c r="W72" s="125">
        <v>0</v>
      </c>
      <c r="X72" s="125">
        <v>0</v>
      </c>
      <c r="Y72" s="125" t="s">
        <v>611</v>
      </c>
      <c r="Z72" s="125"/>
      <c r="AB72" s="258" t="s">
        <v>704</v>
      </c>
      <c r="AC72" s="258" t="s">
        <v>705</v>
      </c>
      <c r="AD72" s="125">
        <v>22</v>
      </c>
      <c r="AE72" s="125">
        <v>2</v>
      </c>
      <c r="AF72" s="125">
        <v>0</v>
      </c>
      <c r="AG72" s="125" t="s">
        <v>611</v>
      </c>
      <c r="AH72" s="125">
        <v>20</v>
      </c>
      <c r="AI72" s="125" t="s">
        <v>611</v>
      </c>
      <c r="AJ72" s="125">
        <v>0</v>
      </c>
      <c r="AK72" s="125">
        <v>0</v>
      </c>
      <c r="AL72" s="125" t="s">
        <v>611</v>
      </c>
      <c r="AO72" s="258" t="s">
        <v>704</v>
      </c>
      <c r="AP72" s="258" t="s">
        <v>705</v>
      </c>
      <c r="AQ72" s="125">
        <v>22</v>
      </c>
      <c r="AR72" s="125">
        <v>2</v>
      </c>
      <c r="AS72" s="125">
        <v>0</v>
      </c>
      <c r="AT72" s="125" t="s">
        <v>611</v>
      </c>
      <c r="AU72" s="125">
        <v>20</v>
      </c>
      <c r="AV72" s="125" t="s">
        <v>611</v>
      </c>
      <c r="AW72" s="125">
        <v>0</v>
      </c>
      <c r="AX72" s="125">
        <v>0</v>
      </c>
      <c r="AY72" s="125" t="s">
        <v>611</v>
      </c>
      <c r="BB72" s="258" t="s">
        <v>704</v>
      </c>
      <c r="BC72" s="258" t="s">
        <v>705</v>
      </c>
      <c r="BD72" s="125">
        <v>0</v>
      </c>
      <c r="BE72" s="125">
        <v>0</v>
      </c>
      <c r="BF72" s="125">
        <v>0</v>
      </c>
      <c r="BG72" s="125">
        <v>0</v>
      </c>
      <c r="BH72" s="125">
        <v>0</v>
      </c>
      <c r="BI72" s="125">
        <v>0</v>
      </c>
      <c r="BJ72" s="125">
        <v>0</v>
      </c>
      <c r="BK72" s="261"/>
      <c r="BL72" s="261"/>
      <c r="BM72" s="258" t="s">
        <v>704</v>
      </c>
      <c r="BN72" s="258" t="s">
        <v>705</v>
      </c>
      <c r="BO72" s="261" t="e">
        <f t="shared" si="3"/>
        <v>#VALUE!</v>
      </c>
      <c r="BP72" s="261">
        <f t="shared" si="4"/>
        <v>2</v>
      </c>
      <c r="BQ72" s="261">
        <f t="shared" si="5"/>
        <v>0</v>
      </c>
      <c r="BR72" s="261" t="e">
        <f t="shared" si="6"/>
        <v>#VALUE!</v>
      </c>
      <c r="BS72" s="261">
        <f t="shared" si="7"/>
        <v>20</v>
      </c>
      <c r="BT72" s="261" t="e">
        <f t="shared" si="8"/>
        <v>#VALUE!</v>
      </c>
      <c r="BU72" s="261">
        <f t="shared" si="9"/>
        <v>0</v>
      </c>
      <c r="BV72" s="261">
        <f t="shared" si="10"/>
        <v>0</v>
      </c>
      <c r="BW72" s="125">
        <f t="shared" si="47"/>
        <v>0</v>
      </c>
      <c r="BZ72" s="258" t="s">
        <v>704</v>
      </c>
      <c r="CA72" s="258" t="s">
        <v>705</v>
      </c>
      <c r="CB72" s="261" t="e">
        <f t="shared" si="12"/>
        <v>#VALUE!</v>
      </c>
      <c r="CC72" s="409">
        <f t="shared" si="13"/>
        <v>2</v>
      </c>
      <c r="CD72" s="409">
        <f t="shared" si="14"/>
        <v>0</v>
      </c>
      <c r="CE72" s="409" t="e">
        <f t="shared" si="15"/>
        <v>#VALUE!</v>
      </c>
      <c r="CF72" s="409">
        <f t="shared" si="16"/>
        <v>20</v>
      </c>
      <c r="CG72" s="409" t="e">
        <f t="shared" si="17"/>
        <v>#VALUE!</v>
      </c>
      <c r="CH72" s="409">
        <f t="shared" si="18"/>
        <v>0</v>
      </c>
      <c r="CI72" s="409">
        <f t="shared" si="19"/>
        <v>0</v>
      </c>
      <c r="CJ72" s="409">
        <f t="shared" si="20"/>
        <v>0</v>
      </c>
      <c r="CK72" s="372">
        <f t="shared" si="21"/>
        <v>0</v>
      </c>
      <c r="CM72" s="258" t="s">
        <v>704</v>
      </c>
      <c r="CN72" s="258" t="s">
        <v>705</v>
      </c>
      <c r="CO72" s="5" t="e">
        <f t="shared" si="22"/>
        <v>#VALUE!</v>
      </c>
      <c r="CP72" s="5">
        <f t="shared" si="23"/>
        <v>1.7605633802816902E-3</v>
      </c>
      <c r="CQ72" s="5">
        <f t="shared" si="24"/>
        <v>0</v>
      </c>
      <c r="CR72" s="5" t="e">
        <f t="shared" si="25"/>
        <v>#VALUE!</v>
      </c>
      <c r="CS72" s="5">
        <f t="shared" si="26"/>
        <v>5.8021467943138961E-3</v>
      </c>
      <c r="CT72" s="5" t="e">
        <f t="shared" si="27"/>
        <v>#VALUE!</v>
      </c>
      <c r="CU72" s="5">
        <f t="shared" si="28"/>
        <v>0</v>
      </c>
      <c r="CV72" s="5">
        <f t="shared" si="29"/>
        <v>0</v>
      </c>
      <c r="CW72" s="5">
        <f t="shared" si="30"/>
        <v>0</v>
      </c>
      <c r="CX72" s="5">
        <f t="shared" si="31"/>
        <v>0</v>
      </c>
      <c r="CZ72" s="447" t="s">
        <v>704</v>
      </c>
      <c r="DA72" s="447" t="s">
        <v>705</v>
      </c>
      <c r="DB72" s="18" t="e">
        <f t="shared" si="32"/>
        <v>#VALUE!</v>
      </c>
      <c r="DC72" s="18" t="e">
        <f t="shared" si="33"/>
        <v>#DIV/0!</v>
      </c>
      <c r="DD72" s="18" t="e">
        <f t="shared" si="43"/>
        <v>#VALUE!</v>
      </c>
      <c r="DE72" s="18">
        <f t="shared" si="35"/>
        <v>0</v>
      </c>
      <c r="DF72" s="18" t="e">
        <f t="shared" si="36"/>
        <v>#VALUE!</v>
      </c>
      <c r="DG72" s="18" t="e">
        <f t="shared" si="37"/>
        <v>#DIV/0!</v>
      </c>
      <c r="DH72" s="18" t="e">
        <f t="shared" si="38"/>
        <v>#DIV/0!</v>
      </c>
      <c r="DI72" s="18" t="e">
        <f t="shared" si="39"/>
        <v>#DIV/0!</v>
      </c>
      <c r="DJ72" s="18" t="e">
        <f t="shared" si="40"/>
        <v>#DIV/0!</v>
      </c>
    </row>
    <row r="73" spans="1:114" ht="47.25">
      <c r="A73" s="371" t="s">
        <v>706</v>
      </c>
      <c r="B73" s="371" t="s">
        <v>707</v>
      </c>
      <c r="C73" s="362">
        <v>14</v>
      </c>
      <c r="D73" s="362">
        <v>4</v>
      </c>
      <c r="E73" s="362">
        <v>0</v>
      </c>
      <c r="F73" s="362" t="s">
        <v>611</v>
      </c>
      <c r="G73" s="362">
        <v>10</v>
      </c>
      <c r="H73" s="362" t="s">
        <v>611</v>
      </c>
      <c r="I73" s="372" t="e">
        <f t="shared" si="44"/>
        <v>#VALUE!</v>
      </c>
      <c r="J73" s="362">
        <v>0</v>
      </c>
      <c r="K73" s="362">
        <v>0</v>
      </c>
      <c r="L73" s="362" t="s">
        <v>611</v>
      </c>
      <c r="M73" s="372" t="e">
        <f t="shared" si="45"/>
        <v>#VALUE!</v>
      </c>
      <c r="N73" s="262"/>
      <c r="P73" s="258" t="s">
        <v>706</v>
      </c>
      <c r="Q73" s="258" t="s">
        <v>707</v>
      </c>
      <c r="R73" s="125" t="s">
        <v>611</v>
      </c>
      <c r="S73" s="125">
        <v>0</v>
      </c>
      <c r="T73" s="125">
        <v>0</v>
      </c>
      <c r="U73" s="125">
        <v>0</v>
      </c>
      <c r="V73" s="125" t="s">
        <v>611</v>
      </c>
      <c r="W73" s="125">
        <v>0</v>
      </c>
      <c r="X73" s="125">
        <v>0</v>
      </c>
      <c r="Y73" s="125">
        <v>0</v>
      </c>
      <c r="Z73" s="125"/>
      <c r="AB73" s="258" t="s">
        <v>706</v>
      </c>
      <c r="AC73" s="258" t="s">
        <v>707</v>
      </c>
      <c r="AD73" s="125">
        <v>14</v>
      </c>
      <c r="AE73" s="125">
        <v>4</v>
      </c>
      <c r="AF73" s="125">
        <v>0</v>
      </c>
      <c r="AG73" s="125" t="s">
        <v>611</v>
      </c>
      <c r="AH73" s="125">
        <v>10</v>
      </c>
      <c r="AI73" s="125" t="s">
        <v>611</v>
      </c>
      <c r="AJ73" s="125">
        <v>0</v>
      </c>
      <c r="AK73" s="125">
        <v>0</v>
      </c>
      <c r="AL73" s="125" t="s">
        <v>611</v>
      </c>
      <c r="AO73" s="258" t="s">
        <v>706</v>
      </c>
      <c r="AP73" s="258" t="s">
        <v>707</v>
      </c>
      <c r="AQ73" s="125">
        <v>14</v>
      </c>
      <c r="AR73" s="125">
        <v>4</v>
      </c>
      <c r="AS73" s="125">
        <v>0</v>
      </c>
      <c r="AT73" s="125" t="s">
        <v>611</v>
      </c>
      <c r="AU73" s="125">
        <v>10</v>
      </c>
      <c r="AV73" s="125" t="s">
        <v>611</v>
      </c>
      <c r="AW73" s="125">
        <v>0</v>
      </c>
      <c r="AX73" s="125">
        <v>0</v>
      </c>
      <c r="AY73" s="125" t="s">
        <v>611</v>
      </c>
      <c r="BB73" s="258" t="s">
        <v>706</v>
      </c>
      <c r="BC73" s="258" t="s">
        <v>707</v>
      </c>
      <c r="BD73" s="125">
        <v>0</v>
      </c>
      <c r="BE73" s="125">
        <v>0</v>
      </c>
      <c r="BF73" s="125">
        <v>0</v>
      </c>
      <c r="BG73" s="125">
        <v>0</v>
      </c>
      <c r="BH73" s="125">
        <v>0</v>
      </c>
      <c r="BI73" s="125">
        <v>0</v>
      </c>
      <c r="BJ73" s="125">
        <v>0</v>
      </c>
      <c r="BK73" s="261"/>
      <c r="BL73" s="261"/>
      <c r="BM73" s="258" t="s">
        <v>706</v>
      </c>
      <c r="BN73" s="258" t="s">
        <v>707</v>
      </c>
      <c r="BO73" s="261" t="e">
        <f t="shared" si="3"/>
        <v>#VALUE!</v>
      </c>
      <c r="BP73" s="261">
        <f t="shared" si="4"/>
        <v>4</v>
      </c>
      <c r="BQ73" s="261">
        <f t="shared" si="5"/>
        <v>0</v>
      </c>
      <c r="BR73" s="261" t="e">
        <f t="shared" si="6"/>
        <v>#VALUE!</v>
      </c>
      <c r="BS73" s="261">
        <f t="shared" si="7"/>
        <v>10</v>
      </c>
      <c r="BT73" s="261" t="e">
        <f t="shared" si="8"/>
        <v>#VALUE!</v>
      </c>
      <c r="BU73" s="261">
        <f t="shared" si="9"/>
        <v>0</v>
      </c>
      <c r="BV73" s="261">
        <f t="shared" si="10"/>
        <v>0</v>
      </c>
      <c r="BW73" s="125">
        <f t="shared" si="47"/>
        <v>0</v>
      </c>
      <c r="BZ73" s="258" t="s">
        <v>706</v>
      </c>
      <c r="CA73" s="258" t="s">
        <v>707</v>
      </c>
      <c r="CB73" s="261" t="e">
        <f t="shared" si="12"/>
        <v>#VALUE!</v>
      </c>
      <c r="CC73" s="409">
        <f t="shared" si="13"/>
        <v>4</v>
      </c>
      <c r="CD73" s="409">
        <f t="shared" si="14"/>
        <v>0</v>
      </c>
      <c r="CE73" s="409" t="e">
        <f t="shared" si="15"/>
        <v>#VALUE!</v>
      </c>
      <c r="CF73" s="409">
        <f t="shared" si="16"/>
        <v>10</v>
      </c>
      <c r="CG73" s="409" t="e">
        <f t="shared" si="17"/>
        <v>#VALUE!</v>
      </c>
      <c r="CH73" s="409">
        <f t="shared" si="18"/>
        <v>0</v>
      </c>
      <c r="CI73" s="409">
        <f t="shared" si="19"/>
        <v>0</v>
      </c>
      <c r="CJ73" s="409">
        <f t="shared" si="20"/>
        <v>0</v>
      </c>
      <c r="CK73" s="372">
        <f t="shared" si="21"/>
        <v>0</v>
      </c>
      <c r="CM73" s="258" t="s">
        <v>706</v>
      </c>
      <c r="CN73" s="258" t="s">
        <v>707</v>
      </c>
      <c r="CO73" s="5" t="e">
        <f t="shared" si="22"/>
        <v>#VALUE!</v>
      </c>
      <c r="CP73" s="5">
        <f t="shared" si="23"/>
        <v>3.5211267605633804E-3</v>
      </c>
      <c r="CQ73" s="5">
        <f t="shared" si="24"/>
        <v>0</v>
      </c>
      <c r="CR73" s="5" t="e">
        <f t="shared" si="25"/>
        <v>#VALUE!</v>
      </c>
      <c r="CS73" s="5">
        <f t="shared" si="26"/>
        <v>2.9010733971569481E-3</v>
      </c>
      <c r="CT73" s="5" t="e">
        <f t="shared" si="27"/>
        <v>#VALUE!</v>
      </c>
      <c r="CU73" s="5">
        <f t="shared" si="28"/>
        <v>0</v>
      </c>
      <c r="CV73" s="5">
        <f t="shared" si="29"/>
        <v>0</v>
      </c>
      <c r="CW73" s="5">
        <f t="shared" si="30"/>
        <v>0</v>
      </c>
      <c r="CX73" s="5">
        <f t="shared" si="31"/>
        <v>0</v>
      </c>
      <c r="CZ73" s="447" t="s">
        <v>706</v>
      </c>
      <c r="DA73" s="447" t="s">
        <v>707</v>
      </c>
      <c r="DB73" s="18" t="e">
        <f t="shared" si="32"/>
        <v>#VALUE!</v>
      </c>
      <c r="DC73" s="18" t="e">
        <f t="shared" si="33"/>
        <v>#DIV/0!</v>
      </c>
      <c r="DD73" s="18" t="e">
        <f t="shared" si="43"/>
        <v>#VALUE!</v>
      </c>
      <c r="DE73" s="18">
        <f t="shared" si="35"/>
        <v>0</v>
      </c>
      <c r="DF73" s="18" t="e">
        <f t="shared" si="36"/>
        <v>#VALUE!</v>
      </c>
      <c r="DG73" s="18" t="e">
        <f t="shared" si="37"/>
        <v>#DIV/0!</v>
      </c>
      <c r="DH73" s="18" t="e">
        <f t="shared" si="38"/>
        <v>#DIV/0!</v>
      </c>
      <c r="DI73" s="18" t="e">
        <f t="shared" si="39"/>
        <v>#DIV/0!</v>
      </c>
      <c r="DJ73" s="18" t="e">
        <f t="shared" si="40"/>
        <v>#DIV/0!</v>
      </c>
    </row>
    <row r="74" spans="1:114" ht="24">
      <c r="A74" s="371" t="s">
        <v>708</v>
      </c>
      <c r="B74" s="371" t="s">
        <v>709</v>
      </c>
      <c r="C74" s="362">
        <v>21</v>
      </c>
      <c r="D74" s="362">
        <v>4</v>
      </c>
      <c r="E74" s="362">
        <v>0</v>
      </c>
      <c r="F74" s="362" t="s">
        <v>611</v>
      </c>
      <c r="G74" s="362">
        <v>17</v>
      </c>
      <c r="H74" s="362" t="s">
        <v>611</v>
      </c>
      <c r="I74" s="372" t="e">
        <f t="shared" si="44"/>
        <v>#VALUE!</v>
      </c>
      <c r="J74" s="362">
        <v>0</v>
      </c>
      <c r="K74" s="362">
        <v>0</v>
      </c>
      <c r="L74" s="362" t="s">
        <v>611</v>
      </c>
      <c r="M74" s="372" t="e">
        <f t="shared" si="45"/>
        <v>#VALUE!</v>
      </c>
      <c r="N74" s="262"/>
      <c r="P74" s="258" t="s">
        <v>708</v>
      </c>
      <c r="Q74" s="258" t="s">
        <v>709</v>
      </c>
      <c r="R74" s="125" t="s">
        <v>611</v>
      </c>
      <c r="S74" s="125">
        <v>0</v>
      </c>
      <c r="T74" s="125">
        <v>0</v>
      </c>
      <c r="U74" s="125">
        <v>0</v>
      </c>
      <c r="V74" s="125" t="s">
        <v>611</v>
      </c>
      <c r="W74" s="125">
        <v>0</v>
      </c>
      <c r="X74" s="125">
        <v>0</v>
      </c>
      <c r="Y74" s="125">
        <v>0</v>
      </c>
      <c r="Z74" s="125"/>
      <c r="AB74" s="258" t="s">
        <v>708</v>
      </c>
      <c r="AC74" s="258" t="s">
        <v>709</v>
      </c>
      <c r="AD74" s="125">
        <v>21</v>
      </c>
      <c r="AE74" s="125">
        <v>4</v>
      </c>
      <c r="AF74" s="125">
        <v>0</v>
      </c>
      <c r="AG74" s="125" t="s">
        <v>611</v>
      </c>
      <c r="AH74" s="125">
        <v>17</v>
      </c>
      <c r="AI74" s="125" t="s">
        <v>611</v>
      </c>
      <c r="AJ74" s="125">
        <v>0</v>
      </c>
      <c r="AK74" s="125">
        <v>0</v>
      </c>
      <c r="AL74" s="125" t="s">
        <v>611</v>
      </c>
      <c r="AO74" s="258" t="s">
        <v>708</v>
      </c>
      <c r="AP74" s="258" t="s">
        <v>709</v>
      </c>
      <c r="AQ74" s="125">
        <v>21</v>
      </c>
      <c r="AR74" s="125">
        <v>4</v>
      </c>
      <c r="AS74" s="125">
        <v>0</v>
      </c>
      <c r="AT74" s="125" t="s">
        <v>611</v>
      </c>
      <c r="AU74" s="125">
        <v>17</v>
      </c>
      <c r="AV74" s="125" t="s">
        <v>611</v>
      </c>
      <c r="AW74" s="125">
        <v>0</v>
      </c>
      <c r="AX74" s="125">
        <v>0</v>
      </c>
      <c r="AY74" s="125" t="s">
        <v>611</v>
      </c>
      <c r="BB74" s="258" t="s">
        <v>708</v>
      </c>
      <c r="BC74" s="258" t="s">
        <v>709</v>
      </c>
      <c r="BD74" s="125">
        <v>0</v>
      </c>
      <c r="BE74" s="125">
        <v>0</v>
      </c>
      <c r="BF74" s="125">
        <v>0</v>
      </c>
      <c r="BG74" s="125">
        <v>0</v>
      </c>
      <c r="BH74" s="125">
        <v>0</v>
      </c>
      <c r="BI74" s="125">
        <v>0</v>
      </c>
      <c r="BJ74" s="125">
        <v>0</v>
      </c>
      <c r="BK74" s="261"/>
      <c r="BL74" s="261"/>
      <c r="BM74" s="258" t="s">
        <v>708</v>
      </c>
      <c r="BN74" s="258" t="s">
        <v>709</v>
      </c>
      <c r="BO74" s="261" t="e">
        <f t="shared" si="3"/>
        <v>#VALUE!</v>
      </c>
      <c r="BP74" s="261">
        <f t="shared" si="4"/>
        <v>4</v>
      </c>
      <c r="BQ74" s="261">
        <f t="shared" si="5"/>
        <v>0</v>
      </c>
      <c r="BR74" s="261" t="e">
        <f t="shared" si="6"/>
        <v>#VALUE!</v>
      </c>
      <c r="BS74" s="261">
        <f t="shared" si="7"/>
        <v>17</v>
      </c>
      <c r="BT74" s="261" t="e">
        <f t="shared" si="8"/>
        <v>#VALUE!</v>
      </c>
      <c r="BU74" s="261">
        <f t="shared" si="9"/>
        <v>0</v>
      </c>
      <c r="BV74" s="261">
        <f t="shared" si="10"/>
        <v>0</v>
      </c>
      <c r="BW74" s="125">
        <f t="shared" si="47"/>
        <v>0</v>
      </c>
      <c r="BZ74" s="258" t="s">
        <v>708</v>
      </c>
      <c r="CA74" s="258" t="s">
        <v>709</v>
      </c>
      <c r="CB74" s="261" t="e">
        <f t="shared" si="12"/>
        <v>#VALUE!</v>
      </c>
      <c r="CC74" s="409">
        <f t="shared" si="13"/>
        <v>4</v>
      </c>
      <c r="CD74" s="409">
        <f t="shared" si="14"/>
        <v>0</v>
      </c>
      <c r="CE74" s="409" t="e">
        <f t="shared" si="15"/>
        <v>#VALUE!</v>
      </c>
      <c r="CF74" s="409">
        <f t="shared" si="16"/>
        <v>17</v>
      </c>
      <c r="CG74" s="409" t="e">
        <f t="shared" si="17"/>
        <v>#VALUE!</v>
      </c>
      <c r="CH74" s="409">
        <f t="shared" si="18"/>
        <v>0</v>
      </c>
      <c r="CI74" s="409">
        <f t="shared" si="19"/>
        <v>0</v>
      </c>
      <c r="CJ74" s="409">
        <f t="shared" si="20"/>
        <v>0</v>
      </c>
      <c r="CK74" s="372">
        <f t="shared" si="21"/>
        <v>0</v>
      </c>
      <c r="CM74" s="258" t="s">
        <v>708</v>
      </c>
      <c r="CN74" s="258" t="s">
        <v>709</v>
      </c>
      <c r="CO74" s="5" t="e">
        <f t="shared" si="22"/>
        <v>#VALUE!</v>
      </c>
      <c r="CP74" s="5">
        <f t="shared" si="23"/>
        <v>3.5211267605633804E-3</v>
      </c>
      <c r="CQ74" s="5">
        <f t="shared" si="24"/>
        <v>0</v>
      </c>
      <c r="CR74" s="5" t="e">
        <f t="shared" si="25"/>
        <v>#VALUE!</v>
      </c>
      <c r="CS74" s="5">
        <f t="shared" si="26"/>
        <v>4.9318247751668114E-3</v>
      </c>
      <c r="CT74" s="5" t="e">
        <f t="shared" si="27"/>
        <v>#VALUE!</v>
      </c>
      <c r="CU74" s="5">
        <f t="shared" si="28"/>
        <v>0</v>
      </c>
      <c r="CV74" s="5">
        <f t="shared" si="29"/>
        <v>0</v>
      </c>
      <c r="CW74" s="5">
        <f t="shared" si="30"/>
        <v>0</v>
      </c>
      <c r="CX74" s="5">
        <f t="shared" si="31"/>
        <v>0</v>
      </c>
      <c r="CZ74" s="447" t="s">
        <v>708</v>
      </c>
      <c r="DA74" s="447" t="s">
        <v>709</v>
      </c>
      <c r="DB74" s="18" t="e">
        <f t="shared" si="32"/>
        <v>#VALUE!</v>
      </c>
      <c r="DC74" s="18" t="e">
        <f t="shared" si="33"/>
        <v>#DIV/0!</v>
      </c>
      <c r="DD74" s="18" t="e">
        <f t="shared" si="43"/>
        <v>#VALUE!</v>
      </c>
      <c r="DE74" s="18">
        <f t="shared" si="35"/>
        <v>0</v>
      </c>
      <c r="DF74" s="18" t="e">
        <f t="shared" si="36"/>
        <v>#VALUE!</v>
      </c>
      <c r="DG74" s="18" t="e">
        <f t="shared" si="37"/>
        <v>#DIV/0!</v>
      </c>
      <c r="DH74" s="18" t="e">
        <f t="shared" si="38"/>
        <v>#DIV/0!</v>
      </c>
      <c r="DI74" s="18" t="e">
        <f t="shared" si="39"/>
        <v>#DIV/0!</v>
      </c>
      <c r="DJ74" s="18" t="e">
        <f t="shared" si="40"/>
        <v>#DIV/0!</v>
      </c>
    </row>
    <row r="75" spans="1:114" ht="47.25">
      <c r="A75" s="371" t="s">
        <v>710</v>
      </c>
      <c r="B75" s="371" t="s">
        <v>711</v>
      </c>
      <c r="C75" s="362">
        <v>9</v>
      </c>
      <c r="D75" s="362">
        <v>4</v>
      </c>
      <c r="E75" s="362" t="s">
        <v>611</v>
      </c>
      <c r="F75" s="362" t="s">
        <v>611</v>
      </c>
      <c r="G75" s="362">
        <v>5</v>
      </c>
      <c r="H75" s="362" t="s">
        <v>611</v>
      </c>
      <c r="I75" s="372" t="e">
        <f t="shared" si="44"/>
        <v>#VALUE!</v>
      </c>
      <c r="J75" s="362">
        <v>0</v>
      </c>
      <c r="K75" s="362">
        <v>0</v>
      </c>
      <c r="L75" s="362" t="s">
        <v>611</v>
      </c>
      <c r="M75" s="372" t="e">
        <f t="shared" si="45"/>
        <v>#VALUE!</v>
      </c>
      <c r="N75" s="262"/>
      <c r="P75" s="258" t="s">
        <v>710</v>
      </c>
      <c r="Q75" s="258" t="s">
        <v>711</v>
      </c>
      <c r="R75" s="125" t="s">
        <v>611</v>
      </c>
      <c r="S75" s="125">
        <v>0</v>
      </c>
      <c r="T75" s="125">
        <v>0</v>
      </c>
      <c r="U75" s="125">
        <v>0</v>
      </c>
      <c r="V75" s="125">
        <v>0</v>
      </c>
      <c r="W75" s="125">
        <v>0</v>
      </c>
      <c r="X75" s="125">
        <v>0</v>
      </c>
      <c r="Y75" s="125" t="s">
        <v>611</v>
      </c>
      <c r="Z75" s="125"/>
      <c r="AB75" s="258" t="s">
        <v>710</v>
      </c>
      <c r="AC75" s="258" t="s">
        <v>711</v>
      </c>
      <c r="AD75" s="125">
        <v>9</v>
      </c>
      <c r="AE75" s="125">
        <v>4</v>
      </c>
      <c r="AF75" s="125" t="s">
        <v>611</v>
      </c>
      <c r="AG75" s="125" t="s">
        <v>611</v>
      </c>
      <c r="AH75" s="125">
        <v>5</v>
      </c>
      <c r="AI75" s="125" t="s">
        <v>611</v>
      </c>
      <c r="AJ75" s="125">
        <v>0</v>
      </c>
      <c r="AK75" s="125">
        <v>0</v>
      </c>
      <c r="AL75" s="125" t="s">
        <v>611</v>
      </c>
      <c r="AO75" s="258" t="s">
        <v>710</v>
      </c>
      <c r="AP75" s="258" t="s">
        <v>711</v>
      </c>
      <c r="AQ75" s="125">
        <v>9</v>
      </c>
      <c r="AR75" s="125">
        <v>4</v>
      </c>
      <c r="AS75" s="125" t="s">
        <v>611</v>
      </c>
      <c r="AT75" s="125" t="s">
        <v>611</v>
      </c>
      <c r="AU75" s="125">
        <v>5</v>
      </c>
      <c r="AV75" s="125" t="s">
        <v>611</v>
      </c>
      <c r="AW75" s="125">
        <v>0</v>
      </c>
      <c r="AX75" s="125">
        <v>0</v>
      </c>
      <c r="AY75" s="125" t="s">
        <v>611</v>
      </c>
      <c r="BB75" s="258" t="s">
        <v>710</v>
      </c>
      <c r="BC75" s="258" t="s">
        <v>711</v>
      </c>
      <c r="BD75" s="125">
        <v>0</v>
      </c>
      <c r="BE75" s="125">
        <v>0</v>
      </c>
      <c r="BF75" s="125">
        <v>0</v>
      </c>
      <c r="BG75" s="125">
        <v>0</v>
      </c>
      <c r="BH75" s="125">
        <v>0</v>
      </c>
      <c r="BI75" s="125">
        <v>0</v>
      </c>
      <c r="BJ75" s="125">
        <v>0</v>
      </c>
      <c r="BK75" s="261"/>
      <c r="BL75" s="261"/>
      <c r="BM75" s="258" t="s">
        <v>710</v>
      </c>
      <c r="BN75" s="258" t="s">
        <v>711</v>
      </c>
      <c r="BO75" s="261" t="e">
        <f t="shared" si="3"/>
        <v>#VALUE!</v>
      </c>
      <c r="BP75" s="261">
        <f t="shared" si="4"/>
        <v>4</v>
      </c>
      <c r="BQ75" s="261" t="e">
        <f t="shared" si="5"/>
        <v>#VALUE!</v>
      </c>
      <c r="BR75" s="261" t="e">
        <f t="shared" si="6"/>
        <v>#VALUE!</v>
      </c>
      <c r="BS75" s="261">
        <f t="shared" si="7"/>
        <v>5</v>
      </c>
      <c r="BT75" s="261" t="e">
        <f t="shared" si="8"/>
        <v>#VALUE!</v>
      </c>
      <c r="BU75" s="261">
        <f t="shared" si="9"/>
        <v>0</v>
      </c>
      <c r="BV75" s="261">
        <f t="shared" si="10"/>
        <v>0</v>
      </c>
      <c r="BW75" s="125">
        <f t="shared" si="47"/>
        <v>0</v>
      </c>
      <c r="BZ75" s="258" t="s">
        <v>710</v>
      </c>
      <c r="CA75" s="258" t="s">
        <v>711</v>
      </c>
      <c r="CB75" s="261" t="e">
        <f t="shared" si="12"/>
        <v>#VALUE!</v>
      </c>
      <c r="CC75" s="409">
        <f t="shared" si="13"/>
        <v>4</v>
      </c>
      <c r="CD75" s="409" t="e">
        <f t="shared" si="14"/>
        <v>#VALUE!</v>
      </c>
      <c r="CE75" s="409" t="e">
        <f t="shared" si="15"/>
        <v>#VALUE!</v>
      </c>
      <c r="CF75" s="409">
        <f t="shared" si="16"/>
        <v>5</v>
      </c>
      <c r="CG75" s="409" t="e">
        <f t="shared" si="17"/>
        <v>#VALUE!</v>
      </c>
      <c r="CH75" s="409">
        <f t="shared" si="18"/>
        <v>0</v>
      </c>
      <c r="CI75" s="409">
        <f t="shared" si="19"/>
        <v>0</v>
      </c>
      <c r="CJ75" s="409">
        <f t="shared" si="20"/>
        <v>0</v>
      </c>
      <c r="CK75" s="372">
        <f t="shared" si="21"/>
        <v>0</v>
      </c>
      <c r="CM75" s="258" t="s">
        <v>710</v>
      </c>
      <c r="CN75" s="258" t="s">
        <v>711</v>
      </c>
      <c r="CO75" s="5" t="e">
        <f t="shared" si="22"/>
        <v>#VALUE!</v>
      </c>
      <c r="CP75" s="5">
        <f t="shared" si="23"/>
        <v>3.5211267605633804E-3</v>
      </c>
      <c r="CQ75" s="5" t="e">
        <f t="shared" si="24"/>
        <v>#VALUE!</v>
      </c>
      <c r="CR75" s="5" t="e">
        <f t="shared" si="25"/>
        <v>#VALUE!</v>
      </c>
      <c r="CS75" s="5">
        <f t="shared" si="26"/>
        <v>1.450536698578474E-3</v>
      </c>
      <c r="CT75" s="5" t="e">
        <f t="shared" si="27"/>
        <v>#VALUE!</v>
      </c>
      <c r="CU75" s="5">
        <f t="shared" si="28"/>
        <v>0</v>
      </c>
      <c r="CV75" s="5">
        <f t="shared" si="29"/>
        <v>0</v>
      </c>
      <c r="CW75" s="5">
        <f t="shared" si="30"/>
        <v>0</v>
      </c>
      <c r="CX75" s="5">
        <f t="shared" si="31"/>
        <v>0</v>
      </c>
      <c r="CZ75" s="447" t="s">
        <v>710</v>
      </c>
      <c r="DA75" s="447" t="s">
        <v>711</v>
      </c>
      <c r="DB75" s="18" t="e">
        <f t="shared" si="32"/>
        <v>#VALUE!</v>
      </c>
      <c r="DC75" s="18" t="e">
        <f t="shared" si="33"/>
        <v>#VALUE!</v>
      </c>
      <c r="DD75" s="18" t="e">
        <f t="shared" si="43"/>
        <v>#VALUE!</v>
      </c>
      <c r="DE75" s="18">
        <f t="shared" si="35"/>
        <v>0</v>
      </c>
      <c r="DF75" s="18" t="e">
        <f t="shared" si="36"/>
        <v>#VALUE!</v>
      </c>
      <c r="DG75" s="18" t="e">
        <f t="shared" si="37"/>
        <v>#DIV/0!</v>
      </c>
      <c r="DH75" s="18" t="e">
        <f t="shared" si="38"/>
        <v>#DIV/0!</v>
      </c>
      <c r="DI75" s="18" t="e">
        <f t="shared" si="39"/>
        <v>#DIV/0!</v>
      </c>
      <c r="DJ75" s="18" t="e">
        <f t="shared" si="40"/>
        <v>#DIV/0!</v>
      </c>
    </row>
    <row r="76" spans="1:114" s="237" customFormat="1">
      <c r="A76" s="373" t="s">
        <v>712</v>
      </c>
      <c r="B76" s="373" t="s">
        <v>713</v>
      </c>
      <c r="C76" s="363">
        <v>123</v>
      </c>
      <c r="D76" s="363">
        <v>17</v>
      </c>
      <c r="E76" s="363"/>
      <c r="F76" s="363">
        <f>1+BX76</f>
        <v>8</v>
      </c>
      <c r="G76" s="363">
        <v>8</v>
      </c>
      <c r="H76" s="363"/>
      <c r="I76" s="374">
        <f t="shared" si="44"/>
        <v>0</v>
      </c>
      <c r="J76" s="363">
        <v>70</v>
      </c>
      <c r="K76" s="363">
        <v>2</v>
      </c>
      <c r="L76" s="363">
        <v>25</v>
      </c>
      <c r="M76" s="374">
        <f t="shared" si="45"/>
        <v>18</v>
      </c>
      <c r="N76" s="297"/>
      <c r="P76" s="200" t="s">
        <v>712</v>
      </c>
      <c r="Q76" s="200" t="s">
        <v>713</v>
      </c>
      <c r="R76" s="149"/>
      <c r="S76" s="149">
        <v>0</v>
      </c>
      <c r="T76" s="149">
        <v>0</v>
      </c>
      <c r="U76" s="149"/>
      <c r="V76" s="149">
        <v>0</v>
      </c>
      <c r="W76" s="149">
        <v>0</v>
      </c>
      <c r="X76" s="149">
        <v>0</v>
      </c>
      <c r="Y76" s="149"/>
      <c r="Z76" s="149"/>
      <c r="AB76" s="200" t="s">
        <v>712</v>
      </c>
      <c r="AC76" s="200" t="s">
        <v>713</v>
      </c>
      <c r="AD76" s="149">
        <v>123</v>
      </c>
      <c r="AE76" s="149">
        <v>17</v>
      </c>
      <c r="AF76" s="149"/>
      <c r="AG76" s="149">
        <v>1</v>
      </c>
      <c r="AH76" s="149">
        <v>8</v>
      </c>
      <c r="AI76" s="149"/>
      <c r="AJ76" s="149">
        <v>70</v>
      </c>
      <c r="AK76" s="149">
        <v>2</v>
      </c>
      <c r="AL76" s="149">
        <v>25</v>
      </c>
      <c r="AO76" s="200" t="s">
        <v>712</v>
      </c>
      <c r="AP76" s="200" t="s">
        <v>713</v>
      </c>
      <c r="AQ76" s="149">
        <v>122</v>
      </c>
      <c r="AR76" s="149">
        <v>17</v>
      </c>
      <c r="AS76" s="149"/>
      <c r="AT76" s="149">
        <v>1</v>
      </c>
      <c r="AU76" s="149">
        <v>8</v>
      </c>
      <c r="AV76" s="149"/>
      <c r="AW76" s="149">
        <v>70</v>
      </c>
      <c r="AX76" s="149">
        <v>2</v>
      </c>
      <c r="AY76" s="149">
        <v>24</v>
      </c>
      <c r="BB76" s="200" t="s">
        <v>712</v>
      </c>
      <c r="BC76" s="200" t="s">
        <v>713</v>
      </c>
      <c r="BD76" s="149">
        <v>12</v>
      </c>
      <c r="BE76" s="149">
        <v>0</v>
      </c>
      <c r="BF76" s="149"/>
      <c r="BG76" s="149">
        <v>7</v>
      </c>
      <c r="BH76" s="149">
        <v>0</v>
      </c>
      <c r="BI76" s="149">
        <v>2</v>
      </c>
      <c r="BJ76" s="149">
        <v>3</v>
      </c>
      <c r="BK76" s="298"/>
      <c r="BL76" s="298"/>
      <c r="BM76" s="200" t="s">
        <v>712</v>
      </c>
      <c r="BN76" s="200" t="s">
        <v>713</v>
      </c>
      <c r="BO76" s="298">
        <f>SUM(BP76:BW76)</f>
        <v>110</v>
      </c>
      <c r="BP76" s="298">
        <f t="shared" si="4"/>
        <v>17</v>
      </c>
      <c r="BQ76" s="298">
        <f>S76+AF76+BJ76</f>
        <v>3</v>
      </c>
      <c r="BR76" s="298">
        <f>T76+AG76+BX76</f>
        <v>8</v>
      </c>
      <c r="BS76" s="298">
        <f t="shared" si="7"/>
        <v>8</v>
      </c>
      <c r="BT76" s="298">
        <f t="shared" si="8"/>
        <v>0</v>
      </c>
      <c r="BU76" s="298">
        <f t="shared" si="9"/>
        <v>70</v>
      </c>
      <c r="BV76" s="298">
        <f t="shared" si="10"/>
        <v>2</v>
      </c>
      <c r="BW76" s="149">
        <f>BI76</f>
        <v>2</v>
      </c>
      <c r="BX76" s="412">
        <f>BG76</f>
        <v>7</v>
      </c>
      <c r="BZ76" s="200" t="s">
        <v>712</v>
      </c>
      <c r="CA76" s="200" t="s">
        <v>713</v>
      </c>
      <c r="CB76" s="298">
        <f>SUM(CC76:CJ76)</f>
        <v>107</v>
      </c>
      <c r="CC76" s="410">
        <f t="shared" si="13"/>
        <v>17</v>
      </c>
      <c r="CD76" s="410">
        <f t="shared" si="14"/>
        <v>0</v>
      </c>
      <c r="CE76" s="410">
        <f t="shared" si="15"/>
        <v>8</v>
      </c>
      <c r="CF76" s="410">
        <f t="shared" si="16"/>
        <v>8</v>
      </c>
      <c r="CG76" s="410">
        <f t="shared" si="17"/>
        <v>0</v>
      </c>
      <c r="CH76" s="410">
        <f t="shared" si="18"/>
        <v>70</v>
      </c>
      <c r="CI76" s="410">
        <f t="shared" si="19"/>
        <v>2</v>
      </c>
      <c r="CJ76" s="410">
        <f t="shared" si="20"/>
        <v>2</v>
      </c>
      <c r="CK76" s="412">
        <f t="shared" si="21"/>
        <v>7</v>
      </c>
      <c r="CM76" s="200" t="s">
        <v>712</v>
      </c>
      <c r="CN76" s="200" t="s">
        <v>713</v>
      </c>
      <c r="CO76" s="237">
        <f t="shared" si="22"/>
        <v>1.1678672778869243E-2</v>
      </c>
      <c r="CP76" s="237">
        <f t="shared" si="23"/>
        <v>1.4964788732394365E-2</v>
      </c>
      <c r="CQ76" s="237">
        <f t="shared" si="24"/>
        <v>0</v>
      </c>
      <c r="CR76" s="237">
        <f t="shared" si="25"/>
        <v>1.3445378151260505E-2</v>
      </c>
      <c r="CS76" s="237">
        <f t="shared" si="26"/>
        <v>2.3208587177255585E-3</v>
      </c>
      <c r="CT76" s="237">
        <f t="shared" si="27"/>
        <v>0</v>
      </c>
      <c r="CU76" s="237">
        <f t="shared" si="28"/>
        <v>0.18087855297157623</v>
      </c>
      <c r="CV76" s="237">
        <f t="shared" si="29"/>
        <v>6.0606060606060608E-2</v>
      </c>
      <c r="CW76" s="237">
        <f t="shared" si="30"/>
        <v>0.17142857142857143</v>
      </c>
      <c r="CX76" s="237">
        <f>CJ76/$BW$105</f>
        <v>4.6948356807511738E-3</v>
      </c>
      <c r="CZ76" s="449" t="s">
        <v>712</v>
      </c>
      <c r="DA76" s="449" t="s">
        <v>713</v>
      </c>
      <c r="DB76" s="452">
        <f t="shared" si="32"/>
        <v>0</v>
      </c>
      <c r="DC76" s="452">
        <v>0</v>
      </c>
      <c r="DD76" s="452">
        <f>(T76)/CE76</f>
        <v>0</v>
      </c>
      <c r="DE76" s="452">
        <f t="shared" si="35"/>
        <v>0</v>
      </c>
      <c r="DF76" s="452">
        <v>0</v>
      </c>
      <c r="DG76" s="452">
        <f t="shared" si="37"/>
        <v>0</v>
      </c>
      <c r="DH76" s="452">
        <f t="shared" si="38"/>
        <v>0</v>
      </c>
      <c r="DI76" s="452">
        <f t="shared" si="39"/>
        <v>0</v>
      </c>
      <c r="DJ76" s="452">
        <f t="shared" si="40"/>
        <v>0</v>
      </c>
    </row>
    <row r="77" spans="1:114" s="237" customFormat="1">
      <c r="A77" s="373" t="s">
        <v>714</v>
      </c>
      <c r="B77" s="373" t="s">
        <v>715</v>
      </c>
      <c r="C77" s="363">
        <v>39</v>
      </c>
      <c r="D77" s="363">
        <v>2</v>
      </c>
      <c r="E77" s="363">
        <v>0</v>
      </c>
      <c r="F77" s="363">
        <f>1+BX77</f>
        <v>8</v>
      </c>
      <c r="G77" s="363">
        <v>3</v>
      </c>
      <c r="H77" s="363"/>
      <c r="I77" s="374">
        <f t="shared" si="44"/>
        <v>0</v>
      </c>
      <c r="J77" s="363">
        <v>26</v>
      </c>
      <c r="K77" s="363">
        <v>0</v>
      </c>
      <c r="L77" s="363">
        <v>7</v>
      </c>
      <c r="M77" s="374">
        <f t="shared" si="45"/>
        <v>0</v>
      </c>
      <c r="N77" s="297"/>
      <c r="P77" s="200" t="s">
        <v>714</v>
      </c>
      <c r="Q77" s="200" t="s">
        <v>715</v>
      </c>
      <c r="R77" s="149"/>
      <c r="S77" s="149">
        <v>0</v>
      </c>
      <c r="T77" s="149">
        <v>0</v>
      </c>
      <c r="U77" s="149">
        <v>0</v>
      </c>
      <c r="V77" s="149">
        <v>0</v>
      </c>
      <c r="W77" s="149">
        <v>0</v>
      </c>
      <c r="X77" s="149">
        <v>0</v>
      </c>
      <c r="Y77" s="149"/>
      <c r="Z77" s="149"/>
      <c r="AB77" s="200" t="s">
        <v>714</v>
      </c>
      <c r="AC77" s="200" t="s">
        <v>715</v>
      </c>
      <c r="AD77" s="149">
        <v>39</v>
      </c>
      <c r="AE77" s="149">
        <v>2</v>
      </c>
      <c r="AF77" s="149">
        <v>0</v>
      </c>
      <c r="AG77" s="149">
        <v>1</v>
      </c>
      <c r="AH77" s="149">
        <v>3</v>
      </c>
      <c r="AI77" s="149"/>
      <c r="AJ77" s="149">
        <v>26</v>
      </c>
      <c r="AK77" s="149">
        <v>0</v>
      </c>
      <c r="AL77" s="149">
        <v>7</v>
      </c>
      <c r="AO77" s="200" t="s">
        <v>714</v>
      </c>
      <c r="AP77" s="200" t="s">
        <v>715</v>
      </c>
      <c r="AQ77" s="149">
        <v>39</v>
      </c>
      <c r="AR77" s="149">
        <v>2</v>
      </c>
      <c r="AS77" s="149">
        <v>0</v>
      </c>
      <c r="AT77" s="149">
        <v>1</v>
      </c>
      <c r="AU77" s="149">
        <v>3</v>
      </c>
      <c r="AV77" s="149"/>
      <c r="AW77" s="149">
        <v>26</v>
      </c>
      <c r="AX77" s="149">
        <v>0</v>
      </c>
      <c r="AY77" s="149">
        <v>7</v>
      </c>
      <c r="BB77" s="200" t="s">
        <v>714</v>
      </c>
      <c r="BC77" s="200" t="s">
        <v>715</v>
      </c>
      <c r="BD77" s="149">
        <v>7</v>
      </c>
      <c r="BE77" s="149">
        <v>0</v>
      </c>
      <c r="BF77" s="149">
        <v>0</v>
      </c>
      <c r="BG77" s="149">
        <v>7</v>
      </c>
      <c r="BH77" s="149">
        <v>0</v>
      </c>
      <c r="BI77" s="149">
        <v>0</v>
      </c>
      <c r="BJ77" s="149">
        <v>0</v>
      </c>
      <c r="BK77" s="298"/>
      <c r="BL77" s="298"/>
      <c r="BM77" s="200" t="s">
        <v>714</v>
      </c>
      <c r="BN77" s="200" t="s">
        <v>715</v>
      </c>
      <c r="BO77" s="298">
        <f t="shared" si="3"/>
        <v>39</v>
      </c>
      <c r="BP77" s="298">
        <f t="shared" si="4"/>
        <v>2</v>
      </c>
      <c r="BQ77" s="298">
        <f t="shared" si="5"/>
        <v>0</v>
      </c>
      <c r="BR77" s="298">
        <f>T77+AG77+BX77</f>
        <v>8</v>
      </c>
      <c r="BS77" s="298">
        <f t="shared" si="7"/>
        <v>3</v>
      </c>
      <c r="BT77" s="298">
        <f t="shared" si="8"/>
        <v>0</v>
      </c>
      <c r="BU77" s="298">
        <f t="shared" si="9"/>
        <v>26</v>
      </c>
      <c r="BV77" s="298">
        <f t="shared" si="10"/>
        <v>0</v>
      </c>
      <c r="BW77" s="149">
        <f t="shared" ref="BW77:BW82" si="48">BI77</f>
        <v>0</v>
      </c>
      <c r="BX77" s="314">
        <v>7</v>
      </c>
      <c r="BZ77" s="200" t="s">
        <v>714</v>
      </c>
      <c r="CA77" s="200" t="s">
        <v>715</v>
      </c>
      <c r="CB77" s="298">
        <f t="shared" si="12"/>
        <v>39</v>
      </c>
      <c r="CC77" s="410">
        <f t="shared" si="13"/>
        <v>2</v>
      </c>
      <c r="CD77" s="410">
        <f t="shared" si="14"/>
        <v>0</v>
      </c>
      <c r="CE77" s="410">
        <f t="shared" si="15"/>
        <v>8</v>
      </c>
      <c r="CF77" s="410">
        <f t="shared" si="16"/>
        <v>3</v>
      </c>
      <c r="CG77" s="410">
        <f t="shared" si="17"/>
        <v>0</v>
      </c>
      <c r="CH77" s="410">
        <f t="shared" si="18"/>
        <v>26</v>
      </c>
      <c r="CI77" s="410">
        <f t="shared" si="19"/>
        <v>0</v>
      </c>
      <c r="CJ77" s="410">
        <f t="shared" si="20"/>
        <v>0</v>
      </c>
      <c r="CK77" s="412">
        <f t="shared" si="21"/>
        <v>7</v>
      </c>
      <c r="CM77" s="200" t="s">
        <v>714</v>
      </c>
      <c r="CN77" s="200" t="s">
        <v>715</v>
      </c>
      <c r="CO77" s="237">
        <f t="shared" si="22"/>
        <v>4.2567125081859856E-3</v>
      </c>
      <c r="CP77" s="237">
        <f t="shared" si="23"/>
        <v>1.7605633802816902E-3</v>
      </c>
      <c r="CQ77" s="237">
        <f t="shared" si="24"/>
        <v>0</v>
      </c>
      <c r="CR77" s="237">
        <f t="shared" si="25"/>
        <v>1.3445378151260505E-2</v>
      </c>
      <c r="CS77" s="237">
        <f t="shared" si="26"/>
        <v>8.703220191470844E-4</v>
      </c>
      <c r="CT77" s="237">
        <f t="shared" si="27"/>
        <v>0</v>
      </c>
      <c r="CU77" s="237">
        <f t="shared" si="28"/>
        <v>6.7183462532299745E-2</v>
      </c>
      <c r="CV77" s="237">
        <f t="shared" si="29"/>
        <v>0</v>
      </c>
      <c r="CW77" s="237">
        <f t="shared" si="30"/>
        <v>6.1904761904761907E-2</v>
      </c>
      <c r="CX77" s="237">
        <f t="shared" si="31"/>
        <v>0</v>
      </c>
      <c r="CZ77" s="449" t="s">
        <v>714</v>
      </c>
      <c r="DA77" s="449" t="s">
        <v>715</v>
      </c>
      <c r="DB77" s="452">
        <f t="shared" si="32"/>
        <v>0</v>
      </c>
      <c r="DC77" s="452">
        <v>0</v>
      </c>
      <c r="DD77" s="452">
        <f>(T77)/CE77</f>
        <v>0</v>
      </c>
      <c r="DE77" s="452">
        <f t="shared" si="35"/>
        <v>0</v>
      </c>
      <c r="DF77" s="452">
        <v>0</v>
      </c>
      <c r="DG77" s="452">
        <f t="shared" si="37"/>
        <v>0</v>
      </c>
      <c r="DH77" s="452">
        <v>0</v>
      </c>
      <c r="DI77" s="452">
        <f t="shared" si="39"/>
        <v>0</v>
      </c>
      <c r="DJ77" s="452">
        <v>0</v>
      </c>
    </row>
    <row r="78" spans="1:114">
      <c r="A78" s="371" t="s">
        <v>716</v>
      </c>
      <c r="B78" s="371" t="s">
        <v>717</v>
      </c>
      <c r="C78" s="362">
        <v>27</v>
      </c>
      <c r="D78" s="362">
        <v>2</v>
      </c>
      <c r="E78" s="362">
        <v>0</v>
      </c>
      <c r="F78" s="362" t="s">
        <v>611</v>
      </c>
      <c r="G78" s="362">
        <v>24</v>
      </c>
      <c r="H78" s="362" t="s">
        <v>611</v>
      </c>
      <c r="I78" s="372" t="e">
        <f t="shared" si="44"/>
        <v>#VALUE!</v>
      </c>
      <c r="J78" s="362">
        <v>0</v>
      </c>
      <c r="K78" s="362">
        <v>0</v>
      </c>
      <c r="L78" s="362" t="s">
        <v>611</v>
      </c>
      <c r="M78" s="372" t="e">
        <f t="shared" si="45"/>
        <v>#VALUE!</v>
      </c>
      <c r="N78" s="262"/>
      <c r="P78" s="258" t="s">
        <v>716</v>
      </c>
      <c r="Q78" s="258" t="s">
        <v>717</v>
      </c>
      <c r="R78" s="125">
        <v>0</v>
      </c>
      <c r="S78" s="125">
        <v>0</v>
      </c>
      <c r="T78" s="125">
        <v>0</v>
      </c>
      <c r="U78" s="125">
        <v>0</v>
      </c>
      <c r="V78" s="125">
        <v>0</v>
      </c>
      <c r="W78" s="125">
        <v>0</v>
      </c>
      <c r="X78" s="125">
        <v>0</v>
      </c>
      <c r="Y78" s="125">
        <v>0</v>
      </c>
      <c r="Z78" s="125"/>
      <c r="AB78" s="258" t="s">
        <v>716</v>
      </c>
      <c r="AC78" s="258" t="s">
        <v>717</v>
      </c>
      <c r="AD78" s="125">
        <v>27</v>
      </c>
      <c r="AE78" s="125">
        <v>2</v>
      </c>
      <c r="AF78" s="125">
        <v>0</v>
      </c>
      <c r="AG78" s="125" t="s">
        <v>611</v>
      </c>
      <c r="AH78" s="125">
        <v>24</v>
      </c>
      <c r="AI78" s="125" t="s">
        <v>611</v>
      </c>
      <c r="AJ78" s="125">
        <v>0</v>
      </c>
      <c r="AK78" s="125">
        <v>0</v>
      </c>
      <c r="AL78" s="125" t="s">
        <v>611</v>
      </c>
      <c r="AO78" s="258" t="s">
        <v>716</v>
      </c>
      <c r="AP78" s="258" t="s">
        <v>717</v>
      </c>
      <c r="AQ78" s="125">
        <v>27</v>
      </c>
      <c r="AR78" s="125">
        <v>2</v>
      </c>
      <c r="AS78" s="125">
        <v>0</v>
      </c>
      <c r="AT78" s="125" t="s">
        <v>611</v>
      </c>
      <c r="AU78" s="125">
        <v>24</v>
      </c>
      <c r="AV78" s="125" t="s">
        <v>611</v>
      </c>
      <c r="AW78" s="125">
        <v>0</v>
      </c>
      <c r="AX78" s="125">
        <v>0</v>
      </c>
      <c r="AY78" s="125" t="s">
        <v>611</v>
      </c>
      <c r="BB78" s="258" t="s">
        <v>716</v>
      </c>
      <c r="BC78" s="258" t="s">
        <v>717</v>
      </c>
      <c r="BD78" s="125">
        <v>0</v>
      </c>
      <c r="BE78" s="125">
        <v>0</v>
      </c>
      <c r="BF78" s="125">
        <v>0</v>
      </c>
      <c r="BG78" s="125">
        <v>0</v>
      </c>
      <c r="BH78" s="125">
        <v>0</v>
      </c>
      <c r="BI78" s="125">
        <v>0</v>
      </c>
      <c r="BJ78" s="125">
        <v>0</v>
      </c>
      <c r="BK78" s="261"/>
      <c r="BL78" s="261"/>
      <c r="BM78" s="258" t="s">
        <v>716</v>
      </c>
      <c r="BN78" s="258" t="s">
        <v>717</v>
      </c>
      <c r="BO78" s="261" t="e">
        <f t="shared" si="3"/>
        <v>#VALUE!</v>
      </c>
      <c r="BP78" s="261">
        <f t="shared" si="4"/>
        <v>2</v>
      </c>
      <c r="BQ78" s="261">
        <f t="shared" si="5"/>
        <v>0</v>
      </c>
      <c r="BR78" s="261" t="e">
        <f t="shared" si="6"/>
        <v>#VALUE!</v>
      </c>
      <c r="BS78" s="261">
        <f t="shared" si="7"/>
        <v>24</v>
      </c>
      <c r="BT78" s="261" t="e">
        <f t="shared" si="8"/>
        <v>#VALUE!</v>
      </c>
      <c r="BU78" s="261">
        <f t="shared" si="9"/>
        <v>0</v>
      </c>
      <c r="BV78" s="261">
        <f t="shared" si="10"/>
        <v>0</v>
      </c>
      <c r="BW78" s="208">
        <f t="shared" si="48"/>
        <v>0</v>
      </c>
      <c r="BZ78" s="258" t="s">
        <v>716</v>
      </c>
      <c r="CA78" s="258" t="s">
        <v>717</v>
      </c>
      <c r="CB78" s="261" t="e">
        <f t="shared" si="12"/>
        <v>#VALUE!</v>
      </c>
      <c r="CC78" s="409">
        <f t="shared" si="13"/>
        <v>2</v>
      </c>
      <c r="CD78" s="409">
        <f t="shared" si="14"/>
        <v>0</v>
      </c>
      <c r="CE78" s="409" t="e">
        <f t="shared" si="15"/>
        <v>#VALUE!</v>
      </c>
      <c r="CF78" s="409">
        <f t="shared" si="16"/>
        <v>24</v>
      </c>
      <c r="CG78" s="409" t="e">
        <f t="shared" si="17"/>
        <v>#VALUE!</v>
      </c>
      <c r="CH78" s="409">
        <f t="shared" si="18"/>
        <v>0</v>
      </c>
      <c r="CI78" s="409">
        <f t="shared" si="19"/>
        <v>0</v>
      </c>
      <c r="CJ78" s="409">
        <f t="shared" si="20"/>
        <v>0</v>
      </c>
      <c r="CK78" s="372">
        <f t="shared" si="21"/>
        <v>0</v>
      </c>
      <c r="CM78" s="258" t="s">
        <v>716</v>
      </c>
      <c r="CN78" s="258" t="s">
        <v>717</v>
      </c>
      <c r="CO78" s="5" t="e">
        <f t="shared" si="22"/>
        <v>#VALUE!</v>
      </c>
      <c r="CP78" s="5">
        <f t="shared" si="23"/>
        <v>1.7605633802816902E-3</v>
      </c>
      <c r="CQ78" s="5">
        <f t="shared" si="24"/>
        <v>0</v>
      </c>
      <c r="CR78" s="5" t="e">
        <f t="shared" si="25"/>
        <v>#VALUE!</v>
      </c>
      <c r="CS78" s="5">
        <f t="shared" si="26"/>
        <v>6.9625761531766752E-3</v>
      </c>
      <c r="CT78" s="5" t="e">
        <f t="shared" si="27"/>
        <v>#VALUE!</v>
      </c>
      <c r="CU78" s="5">
        <f t="shared" si="28"/>
        <v>0</v>
      </c>
      <c r="CV78" s="5">
        <f t="shared" si="29"/>
        <v>0</v>
      </c>
      <c r="CW78" s="5">
        <f t="shared" si="30"/>
        <v>0</v>
      </c>
      <c r="CX78" s="5">
        <f t="shared" si="31"/>
        <v>0</v>
      </c>
      <c r="CZ78" s="447" t="s">
        <v>716</v>
      </c>
      <c r="DA78" s="447" t="s">
        <v>717</v>
      </c>
      <c r="DB78" s="18" t="e">
        <f t="shared" si="32"/>
        <v>#VALUE!</v>
      </c>
      <c r="DC78" s="18" t="e">
        <f t="shared" si="33"/>
        <v>#DIV/0!</v>
      </c>
      <c r="DD78" s="18" t="e">
        <f t="shared" si="43"/>
        <v>#VALUE!</v>
      </c>
      <c r="DE78" s="18">
        <f t="shared" si="35"/>
        <v>0</v>
      </c>
      <c r="DF78" s="18" t="e">
        <f t="shared" si="36"/>
        <v>#VALUE!</v>
      </c>
      <c r="DG78" s="18" t="e">
        <f t="shared" si="37"/>
        <v>#DIV/0!</v>
      </c>
      <c r="DH78" s="18" t="e">
        <f t="shared" si="38"/>
        <v>#DIV/0!</v>
      </c>
      <c r="DI78" s="18" t="e">
        <f t="shared" si="39"/>
        <v>#DIV/0!</v>
      </c>
      <c r="DJ78" s="18" t="e">
        <f t="shared" si="40"/>
        <v>#DIV/0!</v>
      </c>
    </row>
    <row r="79" spans="1:114">
      <c r="A79" s="371" t="s">
        <v>718</v>
      </c>
      <c r="B79" s="371" t="s">
        <v>719</v>
      </c>
      <c r="C79" s="362">
        <v>12</v>
      </c>
      <c r="D79" s="362">
        <v>4</v>
      </c>
      <c r="E79" s="362">
        <v>0</v>
      </c>
      <c r="F79" s="362" t="s">
        <v>611</v>
      </c>
      <c r="G79" s="362">
        <v>8</v>
      </c>
      <c r="H79" s="362" t="s">
        <v>611</v>
      </c>
      <c r="I79" s="372" t="e">
        <f t="shared" si="44"/>
        <v>#VALUE!</v>
      </c>
      <c r="J79" s="362">
        <v>0</v>
      </c>
      <c r="K79" s="362" t="s">
        <v>611</v>
      </c>
      <c r="L79" s="362" t="s">
        <v>611</v>
      </c>
      <c r="M79" s="372" t="e">
        <f t="shared" si="45"/>
        <v>#VALUE!</v>
      </c>
      <c r="N79" s="262"/>
      <c r="P79" s="258" t="s">
        <v>718</v>
      </c>
      <c r="Q79" s="258" t="s">
        <v>719</v>
      </c>
      <c r="R79" s="125" t="s">
        <v>611</v>
      </c>
      <c r="S79" s="125">
        <v>0</v>
      </c>
      <c r="T79" s="125">
        <v>0</v>
      </c>
      <c r="U79" s="125">
        <v>0</v>
      </c>
      <c r="V79" s="125" t="s">
        <v>611</v>
      </c>
      <c r="W79" s="125">
        <v>0</v>
      </c>
      <c r="X79" s="125">
        <v>0</v>
      </c>
      <c r="Y79" s="125" t="s">
        <v>611</v>
      </c>
      <c r="Z79" s="125"/>
      <c r="AB79" s="258" t="s">
        <v>718</v>
      </c>
      <c r="AC79" s="258" t="s">
        <v>719</v>
      </c>
      <c r="AD79" s="125">
        <v>12</v>
      </c>
      <c r="AE79" s="125">
        <v>4</v>
      </c>
      <c r="AF79" s="125">
        <v>0</v>
      </c>
      <c r="AG79" s="125" t="s">
        <v>611</v>
      </c>
      <c r="AH79" s="125">
        <v>8</v>
      </c>
      <c r="AI79" s="125" t="s">
        <v>611</v>
      </c>
      <c r="AJ79" s="125">
        <v>0</v>
      </c>
      <c r="AK79" s="125" t="s">
        <v>611</v>
      </c>
      <c r="AL79" s="125" t="s">
        <v>611</v>
      </c>
      <c r="AO79" s="258" t="s">
        <v>718</v>
      </c>
      <c r="AP79" s="258" t="s">
        <v>719</v>
      </c>
      <c r="AQ79" s="125">
        <v>12</v>
      </c>
      <c r="AR79" s="125">
        <v>4</v>
      </c>
      <c r="AS79" s="125">
        <v>0</v>
      </c>
      <c r="AT79" s="125" t="s">
        <v>611</v>
      </c>
      <c r="AU79" s="125">
        <v>8</v>
      </c>
      <c r="AV79" s="125" t="s">
        <v>611</v>
      </c>
      <c r="AW79" s="125">
        <v>0</v>
      </c>
      <c r="AX79" s="125" t="s">
        <v>611</v>
      </c>
      <c r="AY79" s="125" t="s">
        <v>611</v>
      </c>
      <c r="BB79" s="258" t="s">
        <v>718</v>
      </c>
      <c r="BC79" s="258" t="s">
        <v>719</v>
      </c>
      <c r="BD79" s="125">
        <v>0</v>
      </c>
      <c r="BE79" s="125">
        <v>0</v>
      </c>
      <c r="BF79" s="125">
        <v>0</v>
      </c>
      <c r="BG79" s="125">
        <v>0</v>
      </c>
      <c r="BH79" s="125">
        <v>0</v>
      </c>
      <c r="BI79" s="125">
        <v>0</v>
      </c>
      <c r="BJ79" s="125">
        <v>0</v>
      </c>
      <c r="BK79" s="261"/>
      <c r="BL79" s="261"/>
      <c r="BM79" s="258" t="s">
        <v>718</v>
      </c>
      <c r="BN79" s="258" t="s">
        <v>719</v>
      </c>
      <c r="BO79" s="261" t="e">
        <f t="shared" si="3"/>
        <v>#VALUE!</v>
      </c>
      <c r="BP79" s="261">
        <f t="shared" si="4"/>
        <v>4</v>
      </c>
      <c r="BQ79" s="261">
        <f t="shared" si="5"/>
        <v>0</v>
      </c>
      <c r="BR79" s="261" t="e">
        <f t="shared" si="6"/>
        <v>#VALUE!</v>
      </c>
      <c r="BS79" s="261">
        <f t="shared" si="7"/>
        <v>8</v>
      </c>
      <c r="BT79" s="261" t="e">
        <f t="shared" si="8"/>
        <v>#VALUE!</v>
      </c>
      <c r="BU79" s="261">
        <f t="shared" si="9"/>
        <v>0</v>
      </c>
      <c r="BV79" s="261" t="e">
        <f t="shared" si="10"/>
        <v>#VALUE!</v>
      </c>
      <c r="BW79" s="208">
        <f t="shared" si="48"/>
        <v>0</v>
      </c>
      <c r="BZ79" s="258" t="s">
        <v>718</v>
      </c>
      <c r="CA79" s="258" t="s">
        <v>719</v>
      </c>
      <c r="CB79" s="261" t="e">
        <f t="shared" si="12"/>
        <v>#VALUE!</v>
      </c>
      <c r="CC79" s="409">
        <f t="shared" si="13"/>
        <v>4</v>
      </c>
      <c r="CD79" s="409">
        <f t="shared" si="14"/>
        <v>0</v>
      </c>
      <c r="CE79" s="409" t="e">
        <f t="shared" si="15"/>
        <v>#VALUE!</v>
      </c>
      <c r="CF79" s="409">
        <f t="shared" si="16"/>
        <v>8</v>
      </c>
      <c r="CG79" s="409" t="e">
        <f t="shared" si="17"/>
        <v>#VALUE!</v>
      </c>
      <c r="CH79" s="409">
        <f t="shared" si="18"/>
        <v>0</v>
      </c>
      <c r="CI79" s="409" t="e">
        <f t="shared" si="19"/>
        <v>#VALUE!</v>
      </c>
      <c r="CJ79" s="409">
        <f t="shared" si="20"/>
        <v>0</v>
      </c>
      <c r="CK79" s="372">
        <f t="shared" si="21"/>
        <v>0</v>
      </c>
      <c r="CM79" s="258" t="s">
        <v>718</v>
      </c>
      <c r="CN79" s="258" t="s">
        <v>719</v>
      </c>
      <c r="CO79" s="5" t="e">
        <f t="shared" si="22"/>
        <v>#VALUE!</v>
      </c>
      <c r="CP79" s="5">
        <f t="shared" si="23"/>
        <v>3.5211267605633804E-3</v>
      </c>
      <c r="CQ79" s="5">
        <f t="shared" si="24"/>
        <v>0</v>
      </c>
      <c r="CR79" s="5" t="e">
        <f t="shared" si="25"/>
        <v>#VALUE!</v>
      </c>
      <c r="CS79" s="5">
        <f t="shared" si="26"/>
        <v>2.3208587177255585E-3</v>
      </c>
      <c r="CT79" s="5" t="e">
        <f t="shared" si="27"/>
        <v>#VALUE!</v>
      </c>
      <c r="CU79" s="5">
        <f t="shared" si="28"/>
        <v>0</v>
      </c>
      <c r="CV79" s="5" t="e">
        <f t="shared" si="29"/>
        <v>#VALUE!</v>
      </c>
      <c r="CW79" s="5" t="e">
        <f t="shared" si="30"/>
        <v>#VALUE!</v>
      </c>
      <c r="CX79" s="5">
        <f t="shared" si="31"/>
        <v>0</v>
      </c>
      <c r="CZ79" s="447" t="s">
        <v>718</v>
      </c>
      <c r="DA79" s="447" t="s">
        <v>719</v>
      </c>
      <c r="DB79" s="18" t="e">
        <f t="shared" si="32"/>
        <v>#VALUE!</v>
      </c>
      <c r="DC79" s="18" t="e">
        <f t="shared" si="33"/>
        <v>#DIV/0!</v>
      </c>
      <c r="DD79" s="18" t="e">
        <f t="shared" si="43"/>
        <v>#VALUE!</v>
      </c>
      <c r="DE79" s="18">
        <f t="shared" si="35"/>
        <v>0</v>
      </c>
      <c r="DF79" s="18" t="e">
        <f t="shared" si="36"/>
        <v>#VALUE!</v>
      </c>
      <c r="DG79" s="18" t="e">
        <f t="shared" si="37"/>
        <v>#DIV/0!</v>
      </c>
      <c r="DH79" s="18" t="e">
        <f t="shared" si="38"/>
        <v>#VALUE!</v>
      </c>
      <c r="DI79" s="18" t="e">
        <f t="shared" si="39"/>
        <v>#VALUE!</v>
      </c>
      <c r="DJ79" s="18" t="e">
        <f t="shared" si="40"/>
        <v>#DIV/0!</v>
      </c>
    </row>
    <row r="80" spans="1:114">
      <c r="A80" s="371" t="s">
        <v>720</v>
      </c>
      <c r="B80" s="371" t="s">
        <v>721</v>
      </c>
      <c r="C80" s="362">
        <v>457</v>
      </c>
      <c r="D80" s="362">
        <v>175</v>
      </c>
      <c r="E80" s="362" t="s">
        <v>611</v>
      </c>
      <c r="F80" s="362">
        <v>2</v>
      </c>
      <c r="G80" s="362">
        <v>206</v>
      </c>
      <c r="H80" s="362">
        <v>1</v>
      </c>
      <c r="I80" s="372">
        <f t="shared" si="44"/>
        <v>6</v>
      </c>
      <c r="J80" s="362">
        <v>42</v>
      </c>
      <c r="K80" s="362">
        <v>30</v>
      </c>
      <c r="L80" s="362">
        <v>18</v>
      </c>
      <c r="M80" s="372">
        <f t="shared" si="45"/>
        <v>13</v>
      </c>
      <c r="N80" s="262"/>
      <c r="P80" s="258" t="s">
        <v>720</v>
      </c>
      <c r="Q80" s="258" t="s">
        <v>721</v>
      </c>
      <c r="R80" s="125">
        <v>65</v>
      </c>
      <c r="S80" s="125" t="s">
        <v>611</v>
      </c>
      <c r="T80" s="125" t="s">
        <v>611</v>
      </c>
      <c r="U80" s="125">
        <v>26</v>
      </c>
      <c r="V80" s="125" t="s">
        <v>611</v>
      </c>
      <c r="W80" s="125">
        <v>33</v>
      </c>
      <c r="X80" s="125">
        <v>1</v>
      </c>
      <c r="Y80" s="125">
        <v>5</v>
      </c>
      <c r="Z80" s="125"/>
      <c r="AB80" s="258" t="s">
        <v>720</v>
      </c>
      <c r="AC80" s="258" t="s">
        <v>721</v>
      </c>
      <c r="AD80" s="125">
        <v>428</v>
      </c>
      <c r="AE80" s="125">
        <v>175</v>
      </c>
      <c r="AF80" s="125" t="s">
        <v>611</v>
      </c>
      <c r="AG80" s="125">
        <v>2</v>
      </c>
      <c r="AH80" s="125">
        <v>180</v>
      </c>
      <c r="AI80" s="125">
        <v>1</v>
      </c>
      <c r="AJ80" s="125">
        <v>9</v>
      </c>
      <c r="AK80" s="125">
        <v>30</v>
      </c>
      <c r="AL80" s="125">
        <v>31</v>
      </c>
      <c r="AO80" s="258" t="s">
        <v>720</v>
      </c>
      <c r="AP80" s="258" t="s">
        <v>721</v>
      </c>
      <c r="AQ80" s="125">
        <v>420</v>
      </c>
      <c r="AR80" s="125">
        <v>189</v>
      </c>
      <c r="AS80" s="125" t="s">
        <v>611</v>
      </c>
      <c r="AT80" s="125">
        <v>2</v>
      </c>
      <c r="AU80" s="125">
        <v>180</v>
      </c>
      <c r="AV80" s="125">
        <v>1</v>
      </c>
      <c r="AW80" s="125">
        <v>9</v>
      </c>
      <c r="AX80" s="125">
        <v>30</v>
      </c>
      <c r="AY80" s="125">
        <v>9</v>
      </c>
      <c r="BB80" s="258" t="s">
        <v>720</v>
      </c>
      <c r="BC80" s="258" t="s">
        <v>721</v>
      </c>
      <c r="BD80" s="125">
        <v>23</v>
      </c>
      <c r="BE80" s="125">
        <v>18</v>
      </c>
      <c r="BF80" s="125">
        <v>0</v>
      </c>
      <c r="BG80" s="125" t="s">
        <v>611</v>
      </c>
      <c r="BH80" s="125">
        <v>0</v>
      </c>
      <c r="BI80" s="125">
        <v>4</v>
      </c>
      <c r="BJ80" s="125" t="s">
        <v>611</v>
      </c>
      <c r="BK80" s="261"/>
      <c r="BL80" s="261"/>
      <c r="BM80" s="258" t="s">
        <v>720</v>
      </c>
      <c r="BN80" s="258" t="s">
        <v>721</v>
      </c>
      <c r="BO80" s="261" t="e">
        <f t="shared" si="3"/>
        <v>#VALUE!</v>
      </c>
      <c r="BP80" s="261">
        <f t="shared" si="4"/>
        <v>175</v>
      </c>
      <c r="BQ80" s="261" t="e">
        <f t="shared" si="5"/>
        <v>#VALUE!</v>
      </c>
      <c r="BR80" s="261" t="e">
        <f t="shared" si="6"/>
        <v>#VALUE!</v>
      </c>
      <c r="BS80" s="261">
        <f t="shared" si="7"/>
        <v>206</v>
      </c>
      <c r="BT80" s="261" t="e">
        <f t="shared" si="8"/>
        <v>#VALUE!</v>
      </c>
      <c r="BU80" s="261">
        <f t="shared" si="9"/>
        <v>42</v>
      </c>
      <c r="BV80" s="261">
        <f t="shared" si="10"/>
        <v>31</v>
      </c>
      <c r="BW80" s="208">
        <f t="shared" si="48"/>
        <v>4</v>
      </c>
      <c r="BZ80" s="258" t="s">
        <v>720</v>
      </c>
      <c r="CA80" s="258" t="s">
        <v>721</v>
      </c>
      <c r="CB80" s="261" t="e">
        <f t="shared" si="12"/>
        <v>#VALUE!</v>
      </c>
      <c r="CC80" s="409">
        <f t="shared" si="13"/>
        <v>175</v>
      </c>
      <c r="CD80" s="409" t="e">
        <f t="shared" si="14"/>
        <v>#VALUE!</v>
      </c>
      <c r="CE80" s="409" t="e">
        <f t="shared" si="15"/>
        <v>#VALUE!</v>
      </c>
      <c r="CF80" s="409">
        <f t="shared" si="16"/>
        <v>206</v>
      </c>
      <c r="CG80" s="409" t="e">
        <f t="shared" si="17"/>
        <v>#VALUE!</v>
      </c>
      <c r="CH80" s="409">
        <f t="shared" si="18"/>
        <v>42</v>
      </c>
      <c r="CI80" s="409">
        <f t="shared" si="19"/>
        <v>31</v>
      </c>
      <c r="CJ80" s="409">
        <f t="shared" si="20"/>
        <v>4</v>
      </c>
      <c r="CK80" s="372">
        <f t="shared" si="21"/>
        <v>0</v>
      </c>
      <c r="CM80" s="258" t="s">
        <v>720</v>
      </c>
      <c r="CN80" s="258" t="s">
        <v>721</v>
      </c>
      <c r="CO80" s="5" t="e">
        <f t="shared" si="22"/>
        <v>#VALUE!</v>
      </c>
      <c r="CP80" s="5">
        <f t="shared" si="23"/>
        <v>0.15404929577464788</v>
      </c>
      <c r="CQ80" s="5" t="e">
        <f t="shared" si="24"/>
        <v>#VALUE!</v>
      </c>
      <c r="CR80" s="5" t="e">
        <f t="shared" si="25"/>
        <v>#VALUE!</v>
      </c>
      <c r="CS80" s="5">
        <f t="shared" si="26"/>
        <v>5.9762111981433129E-2</v>
      </c>
      <c r="CT80" s="5" t="e">
        <f t="shared" si="27"/>
        <v>#VALUE!</v>
      </c>
      <c r="CU80" s="5">
        <f t="shared" si="28"/>
        <v>0.10852713178294573</v>
      </c>
      <c r="CV80" s="5">
        <f t="shared" si="29"/>
        <v>0.93939393939393945</v>
      </c>
      <c r="CW80" s="5">
        <f t="shared" si="30"/>
        <v>0.1738095238095238</v>
      </c>
      <c r="CX80" s="5">
        <f t="shared" si="31"/>
        <v>9.3896713615023476E-3</v>
      </c>
      <c r="CZ80" s="447" t="s">
        <v>720</v>
      </c>
      <c r="DA80" s="447" t="s">
        <v>721</v>
      </c>
      <c r="DB80" s="18" t="e">
        <f t="shared" si="32"/>
        <v>#VALUE!</v>
      </c>
      <c r="DC80" s="18" t="e">
        <f t="shared" si="33"/>
        <v>#VALUE!</v>
      </c>
      <c r="DD80" s="18" t="e">
        <f t="shared" si="43"/>
        <v>#VALUE!</v>
      </c>
      <c r="DE80" s="18">
        <f t="shared" si="35"/>
        <v>0.12621359223300971</v>
      </c>
      <c r="DF80" s="18" t="e">
        <f t="shared" si="36"/>
        <v>#VALUE!</v>
      </c>
      <c r="DG80" s="18">
        <f t="shared" si="37"/>
        <v>0.7857142857142857</v>
      </c>
      <c r="DH80" s="18">
        <f t="shared" si="38"/>
        <v>3.2258064516129031E-2</v>
      </c>
      <c r="DI80" s="18">
        <f t="shared" si="39"/>
        <v>0.46575342465753422</v>
      </c>
      <c r="DJ80" s="18">
        <f t="shared" si="40"/>
        <v>0</v>
      </c>
    </row>
    <row r="81" spans="1:114" s="237" customFormat="1" ht="35.65">
      <c r="A81" s="373" t="s">
        <v>722</v>
      </c>
      <c r="B81" s="373" t="s">
        <v>723</v>
      </c>
      <c r="C81" s="363">
        <v>236</v>
      </c>
      <c r="D81" s="363">
        <v>85</v>
      </c>
      <c r="E81" s="363"/>
      <c r="F81" s="363">
        <v>1</v>
      </c>
      <c r="G81" s="363">
        <v>103</v>
      </c>
      <c r="H81" s="363"/>
      <c r="I81" s="374">
        <f t="shared" si="44"/>
        <v>0</v>
      </c>
      <c r="J81" s="363">
        <v>37</v>
      </c>
      <c r="K81" s="363">
        <v>25</v>
      </c>
      <c r="L81" s="363">
        <v>1</v>
      </c>
      <c r="M81" s="374">
        <f t="shared" si="45"/>
        <v>1</v>
      </c>
      <c r="N81" s="297"/>
      <c r="P81" s="200" t="s">
        <v>722</v>
      </c>
      <c r="Q81" s="200" t="s">
        <v>723</v>
      </c>
      <c r="R81" s="149">
        <v>54</v>
      </c>
      <c r="S81" s="149">
        <v>0</v>
      </c>
      <c r="T81" s="149"/>
      <c r="U81" s="149">
        <v>24</v>
      </c>
      <c r="V81" s="149">
        <v>0</v>
      </c>
      <c r="W81" s="149">
        <v>29</v>
      </c>
      <c r="X81" s="149">
        <v>1</v>
      </c>
      <c r="Y81" s="149"/>
      <c r="Z81" s="149"/>
      <c r="AB81" s="200" t="s">
        <v>722</v>
      </c>
      <c r="AC81" s="200" t="s">
        <v>723</v>
      </c>
      <c r="AD81" s="149">
        <v>217</v>
      </c>
      <c r="AE81" s="149">
        <v>85</v>
      </c>
      <c r="AF81" s="383"/>
      <c r="AG81" s="149">
        <v>1</v>
      </c>
      <c r="AH81" s="149">
        <v>78</v>
      </c>
      <c r="AI81" s="383"/>
      <c r="AJ81" s="149">
        <v>8</v>
      </c>
      <c r="AK81" s="149">
        <v>25</v>
      </c>
      <c r="AL81" s="149">
        <v>19</v>
      </c>
      <c r="AO81" s="200" t="s">
        <v>722</v>
      </c>
      <c r="AP81" s="200" t="s">
        <v>723</v>
      </c>
      <c r="AQ81" s="149">
        <v>200</v>
      </c>
      <c r="AR81" s="149">
        <v>86</v>
      </c>
      <c r="AS81" s="149"/>
      <c r="AT81" s="149">
        <v>1</v>
      </c>
      <c r="AU81" s="149">
        <v>78</v>
      </c>
      <c r="AV81" s="149"/>
      <c r="AW81" s="149">
        <v>8</v>
      </c>
      <c r="AX81" s="149">
        <v>25</v>
      </c>
      <c r="AY81" s="149">
        <v>1</v>
      </c>
      <c r="BB81" s="200" t="s">
        <v>722</v>
      </c>
      <c r="BC81" s="200" t="s">
        <v>723</v>
      </c>
      <c r="BD81" s="149">
        <v>19</v>
      </c>
      <c r="BE81" s="149">
        <v>18</v>
      </c>
      <c r="BF81" s="149">
        <v>0</v>
      </c>
      <c r="BG81" s="149"/>
      <c r="BH81" s="149">
        <v>0</v>
      </c>
      <c r="BI81" s="149">
        <v>1</v>
      </c>
      <c r="BJ81" s="149"/>
      <c r="BK81" s="298"/>
      <c r="BL81" s="298"/>
      <c r="BM81" s="200" t="s">
        <v>722</v>
      </c>
      <c r="BN81" s="200" t="s">
        <v>723</v>
      </c>
      <c r="BO81" s="298">
        <f t="shared" si="3"/>
        <v>252</v>
      </c>
      <c r="BP81" s="298">
        <f t="shared" si="4"/>
        <v>85</v>
      </c>
      <c r="BQ81" s="298">
        <f t="shared" si="5"/>
        <v>0</v>
      </c>
      <c r="BR81" s="298">
        <f t="shared" si="6"/>
        <v>1</v>
      </c>
      <c r="BS81" s="298">
        <f t="shared" si="7"/>
        <v>102</v>
      </c>
      <c r="BT81" s="298">
        <f t="shared" si="8"/>
        <v>0</v>
      </c>
      <c r="BU81" s="298">
        <f t="shared" si="9"/>
        <v>37</v>
      </c>
      <c r="BV81" s="298">
        <f t="shared" si="10"/>
        <v>26</v>
      </c>
      <c r="BW81" s="149">
        <f t="shared" si="48"/>
        <v>1</v>
      </c>
      <c r="BZ81" s="200" t="s">
        <v>722</v>
      </c>
      <c r="CA81" s="200" t="s">
        <v>723</v>
      </c>
      <c r="CB81" s="298">
        <f t="shared" si="12"/>
        <v>252</v>
      </c>
      <c r="CC81" s="410">
        <f t="shared" si="13"/>
        <v>85</v>
      </c>
      <c r="CD81" s="410">
        <f t="shared" si="14"/>
        <v>0</v>
      </c>
      <c r="CE81" s="410">
        <f t="shared" si="15"/>
        <v>1</v>
      </c>
      <c r="CF81" s="410">
        <f t="shared" si="16"/>
        <v>102</v>
      </c>
      <c r="CG81" s="410">
        <f t="shared" si="17"/>
        <v>0</v>
      </c>
      <c r="CH81" s="410">
        <f t="shared" si="18"/>
        <v>37</v>
      </c>
      <c r="CI81" s="410">
        <f t="shared" si="19"/>
        <v>26</v>
      </c>
      <c r="CJ81" s="410">
        <f t="shared" si="20"/>
        <v>1</v>
      </c>
      <c r="CK81" s="412">
        <f t="shared" si="21"/>
        <v>0</v>
      </c>
      <c r="CM81" s="200" t="s">
        <v>722</v>
      </c>
      <c r="CN81" s="200" t="s">
        <v>723</v>
      </c>
      <c r="CO81" s="237">
        <f t="shared" si="22"/>
        <v>2.75049115913556E-2</v>
      </c>
      <c r="CP81" s="237">
        <f t="shared" si="23"/>
        <v>7.4823943661971828E-2</v>
      </c>
      <c r="CQ81" s="237">
        <f t="shared" si="24"/>
        <v>0</v>
      </c>
      <c r="CR81" s="237">
        <f t="shared" si="25"/>
        <v>1.6806722689075631E-3</v>
      </c>
      <c r="CS81" s="237">
        <f t="shared" si="26"/>
        <v>2.959094865100087E-2</v>
      </c>
      <c r="CT81" s="237">
        <f t="shared" si="27"/>
        <v>0</v>
      </c>
      <c r="CU81" s="237">
        <f t="shared" si="28"/>
        <v>9.5607235142118857E-2</v>
      </c>
      <c r="CV81" s="237">
        <f t="shared" si="29"/>
        <v>0.78787878787878785</v>
      </c>
      <c r="CW81" s="237">
        <f t="shared" si="30"/>
        <v>0.15</v>
      </c>
      <c r="CX81" s="237">
        <f>CJ81/$BW$105</f>
        <v>2.3474178403755869E-3</v>
      </c>
      <c r="CZ81" s="449" t="s">
        <v>722</v>
      </c>
      <c r="DA81" s="449" t="s">
        <v>723</v>
      </c>
      <c r="DB81" s="452">
        <f t="shared" si="32"/>
        <v>0.21428571428571427</v>
      </c>
      <c r="DC81" s="452">
        <v>0</v>
      </c>
      <c r="DD81" s="452">
        <f t="shared" ref="DD81:DD82" si="49">(T81+BX81)/CE81</f>
        <v>0</v>
      </c>
      <c r="DE81" s="452">
        <f t="shared" si="35"/>
        <v>0.23529411764705882</v>
      </c>
      <c r="DF81" s="452">
        <v>0</v>
      </c>
      <c r="DG81" s="452">
        <f t="shared" si="37"/>
        <v>0.78378378378378377</v>
      </c>
      <c r="DH81" s="452">
        <f t="shared" si="38"/>
        <v>3.8461538461538464E-2</v>
      </c>
      <c r="DI81" s="452">
        <f t="shared" si="39"/>
        <v>0.47619047619047616</v>
      </c>
      <c r="DJ81" s="452">
        <f t="shared" si="40"/>
        <v>0</v>
      </c>
    </row>
    <row r="82" spans="1:114" s="237" customFormat="1" ht="47.25">
      <c r="A82" s="373" t="s">
        <v>724</v>
      </c>
      <c r="B82" s="373" t="s">
        <v>725</v>
      </c>
      <c r="C82" s="363">
        <v>24</v>
      </c>
      <c r="D82" s="363">
        <v>11</v>
      </c>
      <c r="E82" s="363">
        <v>0</v>
      </c>
      <c r="F82" s="363">
        <v>1</v>
      </c>
      <c r="G82" s="363">
        <v>8</v>
      </c>
      <c r="H82" s="363"/>
      <c r="I82" s="374">
        <f t="shared" si="44"/>
        <v>0</v>
      </c>
      <c r="J82" s="363"/>
      <c r="K82" s="363">
        <v>0</v>
      </c>
      <c r="L82" s="363">
        <v>4</v>
      </c>
      <c r="M82" s="374">
        <f t="shared" si="45"/>
        <v>4</v>
      </c>
      <c r="N82" s="297"/>
      <c r="P82" s="200" t="s">
        <v>724</v>
      </c>
      <c r="Q82" s="200" t="s">
        <v>725</v>
      </c>
      <c r="R82" s="149">
        <v>1</v>
      </c>
      <c r="S82" s="149">
        <v>0</v>
      </c>
      <c r="T82" s="149">
        <v>0</v>
      </c>
      <c r="U82" s="149">
        <v>1</v>
      </c>
      <c r="V82" s="149">
        <v>0</v>
      </c>
      <c r="W82" s="149"/>
      <c r="X82" s="149">
        <v>0</v>
      </c>
      <c r="Y82" s="149"/>
      <c r="Z82" s="149"/>
      <c r="AB82" s="200" t="s">
        <v>724</v>
      </c>
      <c r="AC82" s="200" t="s">
        <v>725</v>
      </c>
      <c r="AD82" s="149">
        <v>23</v>
      </c>
      <c r="AE82" s="149">
        <v>11</v>
      </c>
      <c r="AF82" s="149">
        <v>0</v>
      </c>
      <c r="AG82" s="149">
        <v>1</v>
      </c>
      <c r="AH82" s="149">
        <v>7</v>
      </c>
      <c r="AI82" s="149"/>
      <c r="AJ82" s="149">
        <v>0</v>
      </c>
      <c r="AK82" s="149">
        <v>0</v>
      </c>
      <c r="AL82" s="149">
        <v>4</v>
      </c>
      <c r="AO82" s="200" t="s">
        <v>724</v>
      </c>
      <c r="AP82" s="200" t="s">
        <v>725</v>
      </c>
      <c r="AQ82" s="149">
        <v>23</v>
      </c>
      <c r="AR82" s="149">
        <v>11</v>
      </c>
      <c r="AS82" s="149">
        <v>0</v>
      </c>
      <c r="AT82" s="149">
        <v>1</v>
      </c>
      <c r="AU82" s="149">
        <v>7</v>
      </c>
      <c r="AV82" s="149"/>
      <c r="AW82" s="149">
        <v>0</v>
      </c>
      <c r="AX82" s="149">
        <v>0</v>
      </c>
      <c r="AY82" s="149">
        <v>4</v>
      </c>
      <c r="BB82" s="200" t="s">
        <v>724</v>
      </c>
      <c r="BC82" s="200" t="s">
        <v>725</v>
      </c>
      <c r="BD82" s="149"/>
      <c r="BE82" s="149">
        <v>0</v>
      </c>
      <c r="BF82" s="149">
        <v>0</v>
      </c>
      <c r="BG82" s="149"/>
      <c r="BH82" s="149">
        <v>0</v>
      </c>
      <c r="BI82" s="149">
        <v>0</v>
      </c>
      <c r="BJ82" s="149">
        <v>0</v>
      </c>
      <c r="BK82" s="298"/>
      <c r="BL82" s="298"/>
      <c r="BM82" s="200" t="s">
        <v>724</v>
      </c>
      <c r="BN82" s="200" t="s">
        <v>725</v>
      </c>
      <c r="BO82" s="298">
        <f t="shared" si="3"/>
        <v>20</v>
      </c>
      <c r="BP82" s="298">
        <f t="shared" si="4"/>
        <v>11</v>
      </c>
      <c r="BQ82" s="298">
        <f t="shared" si="5"/>
        <v>0</v>
      </c>
      <c r="BR82" s="298">
        <f t="shared" si="6"/>
        <v>1</v>
      </c>
      <c r="BS82" s="298">
        <f t="shared" si="7"/>
        <v>8</v>
      </c>
      <c r="BT82" s="298">
        <f t="shared" si="8"/>
        <v>0</v>
      </c>
      <c r="BU82" s="298">
        <f t="shared" si="9"/>
        <v>0</v>
      </c>
      <c r="BV82" s="298">
        <f t="shared" si="10"/>
        <v>0</v>
      </c>
      <c r="BW82" s="149">
        <f t="shared" si="48"/>
        <v>0</v>
      </c>
      <c r="BZ82" s="200" t="s">
        <v>724</v>
      </c>
      <c r="CA82" s="200" t="s">
        <v>725</v>
      </c>
      <c r="CB82" s="298">
        <f t="shared" si="12"/>
        <v>20</v>
      </c>
      <c r="CC82" s="410">
        <f t="shared" si="13"/>
        <v>11</v>
      </c>
      <c r="CD82" s="410">
        <f t="shared" si="14"/>
        <v>0</v>
      </c>
      <c r="CE82" s="410">
        <f t="shared" si="15"/>
        <v>1</v>
      </c>
      <c r="CF82" s="410">
        <f t="shared" si="16"/>
        <v>8</v>
      </c>
      <c r="CG82" s="410">
        <f t="shared" si="17"/>
        <v>0</v>
      </c>
      <c r="CH82" s="410">
        <f t="shared" si="18"/>
        <v>0</v>
      </c>
      <c r="CI82" s="410">
        <f t="shared" si="19"/>
        <v>0</v>
      </c>
      <c r="CJ82" s="410">
        <f t="shared" si="20"/>
        <v>0</v>
      </c>
      <c r="CK82" s="412">
        <f t="shared" si="21"/>
        <v>0</v>
      </c>
      <c r="CM82" s="200" t="s">
        <v>724</v>
      </c>
      <c r="CN82" s="200" t="s">
        <v>725</v>
      </c>
      <c r="CO82" s="237">
        <f t="shared" si="22"/>
        <v>2.1829294913774284E-3</v>
      </c>
      <c r="CP82" s="237">
        <f t="shared" si="23"/>
        <v>9.683098591549295E-3</v>
      </c>
      <c r="CQ82" s="237">
        <f t="shared" si="24"/>
        <v>0</v>
      </c>
      <c r="CR82" s="237">
        <f t="shared" si="25"/>
        <v>1.6806722689075631E-3</v>
      </c>
      <c r="CS82" s="237">
        <f t="shared" si="26"/>
        <v>2.3208587177255585E-3</v>
      </c>
      <c r="CT82" s="237">
        <f t="shared" si="27"/>
        <v>0</v>
      </c>
      <c r="CU82" s="237">
        <f t="shared" si="28"/>
        <v>0</v>
      </c>
      <c r="CV82" s="237">
        <f t="shared" si="29"/>
        <v>0</v>
      </c>
      <c r="CW82" s="237">
        <f t="shared" si="30"/>
        <v>0</v>
      </c>
      <c r="CX82" s="237">
        <f t="shared" si="31"/>
        <v>0</v>
      </c>
      <c r="CZ82" s="449" t="s">
        <v>724</v>
      </c>
      <c r="DA82" s="449" t="s">
        <v>725</v>
      </c>
      <c r="DB82" s="452">
        <f t="shared" si="32"/>
        <v>0.05</v>
      </c>
      <c r="DC82" s="452">
        <v>0</v>
      </c>
      <c r="DD82" s="452">
        <f t="shared" si="49"/>
        <v>0</v>
      </c>
      <c r="DE82" s="452">
        <f t="shared" si="35"/>
        <v>0.125</v>
      </c>
      <c r="DF82" s="452">
        <v>0</v>
      </c>
      <c r="DG82" s="452">
        <v>0</v>
      </c>
      <c r="DH82" s="452">
        <v>0</v>
      </c>
      <c r="DI82" s="452">
        <v>0</v>
      </c>
      <c r="DJ82" s="452">
        <v>0</v>
      </c>
    </row>
    <row r="83" spans="1:114" ht="24">
      <c r="A83" s="371" t="s">
        <v>726</v>
      </c>
      <c r="B83" s="371" t="s">
        <v>727</v>
      </c>
      <c r="C83" s="362">
        <v>132</v>
      </c>
      <c r="D83" s="362">
        <v>50</v>
      </c>
      <c r="E83" s="362" t="s">
        <v>611</v>
      </c>
      <c r="F83" s="362" t="s">
        <v>611</v>
      </c>
      <c r="G83" s="362">
        <v>72</v>
      </c>
      <c r="H83" s="362" t="s">
        <v>611</v>
      </c>
      <c r="I83" s="372" t="e">
        <f t="shared" si="44"/>
        <v>#VALUE!</v>
      </c>
      <c r="J83" s="362">
        <v>0</v>
      </c>
      <c r="K83" s="362">
        <v>0</v>
      </c>
      <c r="L83" s="362">
        <v>8</v>
      </c>
      <c r="M83" s="372">
        <f t="shared" si="45"/>
        <v>3</v>
      </c>
      <c r="N83" s="262"/>
      <c r="P83" s="258" t="s">
        <v>726</v>
      </c>
      <c r="Q83" s="258" t="s">
        <v>727</v>
      </c>
      <c r="R83" s="125">
        <v>6</v>
      </c>
      <c r="S83" s="125" t="s">
        <v>611</v>
      </c>
      <c r="T83" s="125" t="s">
        <v>611</v>
      </c>
      <c r="U83" s="125">
        <v>1</v>
      </c>
      <c r="V83" s="125" t="s">
        <v>611</v>
      </c>
      <c r="W83" s="125">
        <v>0</v>
      </c>
      <c r="X83" s="125">
        <v>0</v>
      </c>
      <c r="Y83" s="125">
        <v>5</v>
      </c>
      <c r="Z83" s="125"/>
      <c r="AB83" s="258" t="s">
        <v>726</v>
      </c>
      <c r="AC83" s="258" t="s">
        <v>727</v>
      </c>
      <c r="AD83" s="125">
        <v>125</v>
      </c>
      <c r="AE83" s="125">
        <v>50</v>
      </c>
      <c r="AF83" s="125">
        <v>0</v>
      </c>
      <c r="AG83" s="125" t="s">
        <v>611</v>
      </c>
      <c r="AH83" s="125">
        <v>71</v>
      </c>
      <c r="AI83" s="125" t="s">
        <v>611</v>
      </c>
      <c r="AJ83" s="125">
        <v>0</v>
      </c>
      <c r="AK83" s="125">
        <v>0</v>
      </c>
      <c r="AL83" s="125">
        <v>3</v>
      </c>
      <c r="AO83" s="258" t="s">
        <v>726</v>
      </c>
      <c r="AP83" s="258" t="s">
        <v>727</v>
      </c>
      <c r="AQ83" s="125">
        <v>139</v>
      </c>
      <c r="AR83" s="125">
        <v>64</v>
      </c>
      <c r="AS83" s="125">
        <v>0</v>
      </c>
      <c r="AT83" s="125" t="s">
        <v>611</v>
      </c>
      <c r="AU83" s="125">
        <v>71</v>
      </c>
      <c r="AV83" s="125" t="s">
        <v>611</v>
      </c>
      <c r="AW83" s="125">
        <v>0</v>
      </c>
      <c r="AX83" s="125">
        <v>0</v>
      </c>
      <c r="AY83" s="125">
        <v>3</v>
      </c>
      <c r="BB83" s="258" t="s">
        <v>726</v>
      </c>
      <c r="BC83" s="258" t="s">
        <v>727</v>
      </c>
      <c r="BD83" s="125">
        <v>0</v>
      </c>
      <c r="BE83" s="125">
        <v>0</v>
      </c>
      <c r="BF83" s="125">
        <v>0</v>
      </c>
      <c r="BG83" s="125">
        <v>0</v>
      </c>
      <c r="BH83" s="125">
        <v>0</v>
      </c>
      <c r="BI83" s="125">
        <v>0</v>
      </c>
      <c r="BJ83" s="125">
        <v>0</v>
      </c>
      <c r="BK83" s="261"/>
      <c r="BL83" s="261"/>
      <c r="BM83" s="258" t="s">
        <v>726</v>
      </c>
      <c r="BN83" s="258" t="s">
        <v>727</v>
      </c>
      <c r="BO83" s="261" t="e">
        <f t="shared" si="3"/>
        <v>#VALUE!</v>
      </c>
      <c r="BP83" s="261">
        <f t="shared" si="4"/>
        <v>50</v>
      </c>
      <c r="BQ83" s="261" t="e">
        <f t="shared" si="5"/>
        <v>#VALUE!</v>
      </c>
      <c r="BR83" s="261" t="e">
        <f t="shared" si="6"/>
        <v>#VALUE!</v>
      </c>
      <c r="BS83" s="261">
        <f t="shared" si="7"/>
        <v>72</v>
      </c>
      <c r="BT83" s="261" t="e">
        <f t="shared" si="8"/>
        <v>#VALUE!</v>
      </c>
      <c r="BU83" s="261">
        <f t="shared" si="9"/>
        <v>0</v>
      </c>
      <c r="BV83" s="261">
        <f t="shared" si="10"/>
        <v>0</v>
      </c>
      <c r="BW83" s="125">
        <f>BI83</f>
        <v>0</v>
      </c>
      <c r="BZ83" s="258" t="s">
        <v>726</v>
      </c>
      <c r="CA83" s="258" t="s">
        <v>727</v>
      </c>
      <c r="CB83" s="261" t="e">
        <f t="shared" si="12"/>
        <v>#VALUE!</v>
      </c>
      <c r="CC83" s="409">
        <f t="shared" si="13"/>
        <v>50</v>
      </c>
      <c r="CD83" s="409" t="e">
        <f t="shared" si="14"/>
        <v>#VALUE!</v>
      </c>
      <c r="CE83" s="409" t="e">
        <f t="shared" si="15"/>
        <v>#VALUE!</v>
      </c>
      <c r="CF83" s="409">
        <f t="shared" si="16"/>
        <v>72</v>
      </c>
      <c r="CG83" s="409" t="e">
        <f t="shared" si="17"/>
        <v>#VALUE!</v>
      </c>
      <c r="CH83" s="409">
        <f t="shared" si="18"/>
        <v>0</v>
      </c>
      <c r="CI83" s="409">
        <f t="shared" si="19"/>
        <v>0</v>
      </c>
      <c r="CJ83" s="409">
        <f t="shared" si="20"/>
        <v>0</v>
      </c>
      <c r="CK83" s="372">
        <f t="shared" si="21"/>
        <v>0</v>
      </c>
      <c r="CM83" s="258" t="s">
        <v>726</v>
      </c>
      <c r="CN83" s="258" t="s">
        <v>727</v>
      </c>
      <c r="CO83" s="5" t="e">
        <f t="shared" si="22"/>
        <v>#VALUE!</v>
      </c>
      <c r="CP83" s="5">
        <f t="shared" si="23"/>
        <v>4.401408450704225E-2</v>
      </c>
      <c r="CQ83" s="5" t="e">
        <f t="shared" si="24"/>
        <v>#VALUE!</v>
      </c>
      <c r="CR83" s="5" t="e">
        <f t="shared" si="25"/>
        <v>#VALUE!</v>
      </c>
      <c r="CS83" s="5">
        <f t="shared" si="26"/>
        <v>2.0887728459530026E-2</v>
      </c>
      <c r="CT83" s="5" t="e">
        <f t="shared" si="27"/>
        <v>#VALUE!</v>
      </c>
      <c r="CU83" s="5">
        <f t="shared" si="28"/>
        <v>0</v>
      </c>
      <c r="CV83" s="5">
        <f t="shared" si="29"/>
        <v>0</v>
      </c>
      <c r="CW83" s="5">
        <f t="shared" si="30"/>
        <v>0</v>
      </c>
      <c r="CX83" s="5">
        <f t="shared" si="31"/>
        <v>0</v>
      </c>
      <c r="CZ83" s="447" t="s">
        <v>726</v>
      </c>
      <c r="DA83" s="447" t="s">
        <v>727</v>
      </c>
      <c r="DB83" s="18" t="e">
        <f t="shared" si="32"/>
        <v>#VALUE!</v>
      </c>
      <c r="DC83" s="18" t="e">
        <f t="shared" si="33"/>
        <v>#VALUE!</v>
      </c>
      <c r="DD83" s="18" t="e">
        <f t="shared" si="43"/>
        <v>#VALUE!</v>
      </c>
      <c r="DE83" s="18">
        <f t="shared" si="35"/>
        <v>1.3888888888888888E-2</v>
      </c>
      <c r="DF83" s="18" t="e">
        <f t="shared" si="36"/>
        <v>#VALUE!</v>
      </c>
      <c r="DG83" s="18" t="e">
        <f t="shared" si="37"/>
        <v>#DIV/0!</v>
      </c>
      <c r="DH83" s="18" t="e">
        <f t="shared" si="38"/>
        <v>#DIV/0!</v>
      </c>
      <c r="DI83" s="18" t="e">
        <f t="shared" si="39"/>
        <v>#DIV/0!</v>
      </c>
      <c r="DJ83" s="18" t="e">
        <f t="shared" si="40"/>
        <v>#DIV/0!</v>
      </c>
    </row>
    <row r="84" spans="1:114" ht="47.25">
      <c r="A84" s="371" t="s">
        <v>728</v>
      </c>
      <c r="B84" s="371" t="s">
        <v>729</v>
      </c>
      <c r="C84" s="362">
        <v>8</v>
      </c>
      <c r="D84" s="362">
        <v>1</v>
      </c>
      <c r="E84" s="362">
        <v>0</v>
      </c>
      <c r="F84" s="362" t="s">
        <v>611</v>
      </c>
      <c r="G84" s="362">
        <v>7</v>
      </c>
      <c r="H84" s="362" t="s">
        <v>611</v>
      </c>
      <c r="I84" s="372" t="e">
        <f t="shared" si="44"/>
        <v>#VALUE!</v>
      </c>
      <c r="J84" s="362">
        <v>0</v>
      </c>
      <c r="K84" s="362">
        <v>0</v>
      </c>
      <c r="L84" s="362" t="s">
        <v>611</v>
      </c>
      <c r="M84" s="372" t="e">
        <f t="shared" si="45"/>
        <v>#VALUE!</v>
      </c>
      <c r="N84" s="262"/>
      <c r="P84" s="258" t="s">
        <v>728</v>
      </c>
      <c r="Q84" s="258" t="s">
        <v>729</v>
      </c>
      <c r="R84" s="125" t="s">
        <v>611</v>
      </c>
      <c r="S84" s="125">
        <v>0</v>
      </c>
      <c r="T84" s="125" t="s">
        <v>611</v>
      </c>
      <c r="U84" s="125" t="s">
        <v>611</v>
      </c>
      <c r="V84" s="125" t="s">
        <v>611</v>
      </c>
      <c r="W84" s="125">
        <v>0</v>
      </c>
      <c r="X84" s="125">
        <v>0</v>
      </c>
      <c r="Y84" s="125" t="s">
        <v>611</v>
      </c>
      <c r="Z84" s="125"/>
      <c r="AB84" s="258" t="s">
        <v>728</v>
      </c>
      <c r="AC84" s="258" t="s">
        <v>729</v>
      </c>
      <c r="AD84" s="125">
        <v>8</v>
      </c>
      <c r="AE84" s="125">
        <v>1</v>
      </c>
      <c r="AF84" s="125">
        <v>0</v>
      </c>
      <c r="AG84" s="125" t="s">
        <v>611</v>
      </c>
      <c r="AH84" s="125">
        <v>7</v>
      </c>
      <c r="AI84" s="125" t="s">
        <v>611</v>
      </c>
      <c r="AJ84" s="125">
        <v>0</v>
      </c>
      <c r="AK84" s="125">
        <v>0</v>
      </c>
      <c r="AL84" s="125" t="s">
        <v>611</v>
      </c>
      <c r="AO84" s="258" t="s">
        <v>728</v>
      </c>
      <c r="AP84" s="258" t="s">
        <v>729</v>
      </c>
      <c r="AQ84" s="125">
        <v>21</v>
      </c>
      <c r="AR84" s="125">
        <v>14</v>
      </c>
      <c r="AS84" s="125">
        <v>0</v>
      </c>
      <c r="AT84" s="125" t="s">
        <v>611</v>
      </c>
      <c r="AU84" s="125">
        <v>7</v>
      </c>
      <c r="AV84" s="125" t="s">
        <v>611</v>
      </c>
      <c r="AW84" s="125">
        <v>0</v>
      </c>
      <c r="AX84" s="125">
        <v>0</v>
      </c>
      <c r="AY84" s="125" t="s">
        <v>611</v>
      </c>
      <c r="BB84" s="258" t="s">
        <v>728</v>
      </c>
      <c r="BC84" s="258" t="s">
        <v>729</v>
      </c>
      <c r="BD84" s="125">
        <v>0</v>
      </c>
      <c r="BE84" s="125">
        <v>0</v>
      </c>
      <c r="BF84" s="125">
        <v>0</v>
      </c>
      <c r="BG84" s="125">
        <v>0</v>
      </c>
      <c r="BH84" s="125">
        <v>0</v>
      </c>
      <c r="BI84" s="125">
        <v>0</v>
      </c>
      <c r="BJ84" s="125">
        <v>0</v>
      </c>
      <c r="BK84" s="261"/>
      <c r="BL84" s="261"/>
      <c r="BM84" s="258" t="s">
        <v>728</v>
      </c>
      <c r="BN84" s="258" t="s">
        <v>729</v>
      </c>
      <c r="BO84" s="261" t="e">
        <f t="shared" si="3"/>
        <v>#VALUE!</v>
      </c>
      <c r="BP84" s="261">
        <f t="shared" si="4"/>
        <v>1</v>
      </c>
      <c r="BQ84" s="261">
        <f t="shared" si="5"/>
        <v>0</v>
      </c>
      <c r="BR84" s="261" t="e">
        <f t="shared" si="6"/>
        <v>#VALUE!</v>
      </c>
      <c r="BS84" s="261" t="e">
        <f t="shared" si="7"/>
        <v>#VALUE!</v>
      </c>
      <c r="BT84" s="261" t="e">
        <f t="shared" si="8"/>
        <v>#VALUE!</v>
      </c>
      <c r="BU84" s="261">
        <f t="shared" si="9"/>
        <v>0</v>
      </c>
      <c r="BV84" s="261">
        <f t="shared" si="10"/>
        <v>0</v>
      </c>
      <c r="BW84" s="125">
        <f t="shared" ref="BW84:BW105" si="50">BI84</f>
        <v>0</v>
      </c>
      <c r="BZ84" s="258" t="s">
        <v>728</v>
      </c>
      <c r="CA84" s="258" t="s">
        <v>729</v>
      </c>
      <c r="CB84" s="261" t="e">
        <f t="shared" si="12"/>
        <v>#VALUE!</v>
      </c>
      <c r="CC84" s="409">
        <f t="shared" si="13"/>
        <v>1</v>
      </c>
      <c r="CD84" s="409">
        <f t="shared" si="14"/>
        <v>0</v>
      </c>
      <c r="CE84" s="409" t="e">
        <f t="shared" si="15"/>
        <v>#VALUE!</v>
      </c>
      <c r="CF84" s="409" t="e">
        <f t="shared" si="16"/>
        <v>#VALUE!</v>
      </c>
      <c r="CG84" s="409" t="e">
        <f t="shared" si="17"/>
        <v>#VALUE!</v>
      </c>
      <c r="CH84" s="409">
        <f t="shared" si="18"/>
        <v>0</v>
      </c>
      <c r="CI84" s="409">
        <f t="shared" si="19"/>
        <v>0</v>
      </c>
      <c r="CJ84" s="409">
        <f t="shared" si="20"/>
        <v>0</v>
      </c>
      <c r="CK84" s="372">
        <f t="shared" si="21"/>
        <v>0</v>
      </c>
      <c r="CM84" s="258" t="s">
        <v>728</v>
      </c>
      <c r="CN84" s="258" t="s">
        <v>729</v>
      </c>
      <c r="CO84" s="5" t="e">
        <f t="shared" si="22"/>
        <v>#VALUE!</v>
      </c>
      <c r="CP84" s="5">
        <f t="shared" si="23"/>
        <v>8.8028169014084509E-4</v>
      </c>
      <c r="CQ84" s="5">
        <f t="shared" si="24"/>
        <v>0</v>
      </c>
      <c r="CR84" s="5" t="e">
        <f t="shared" si="25"/>
        <v>#VALUE!</v>
      </c>
      <c r="CS84" s="5" t="e">
        <f t="shared" si="26"/>
        <v>#VALUE!</v>
      </c>
      <c r="CT84" s="5" t="e">
        <f t="shared" si="27"/>
        <v>#VALUE!</v>
      </c>
      <c r="CU84" s="5">
        <f t="shared" si="28"/>
        <v>0</v>
      </c>
      <c r="CV84" s="5">
        <f t="shared" si="29"/>
        <v>0</v>
      </c>
      <c r="CW84" s="5">
        <f t="shared" si="30"/>
        <v>0</v>
      </c>
      <c r="CX84" s="5">
        <f t="shared" si="31"/>
        <v>0</v>
      </c>
      <c r="CZ84" s="447" t="s">
        <v>728</v>
      </c>
      <c r="DA84" s="447" t="s">
        <v>729</v>
      </c>
      <c r="DB84" s="18" t="e">
        <f t="shared" si="32"/>
        <v>#VALUE!</v>
      </c>
      <c r="DC84" s="18" t="e">
        <f t="shared" si="33"/>
        <v>#DIV/0!</v>
      </c>
      <c r="DD84" s="18" t="e">
        <f t="shared" si="43"/>
        <v>#VALUE!</v>
      </c>
      <c r="DE84" s="18" t="e">
        <f t="shared" si="35"/>
        <v>#VALUE!</v>
      </c>
      <c r="DF84" s="18" t="e">
        <f t="shared" si="36"/>
        <v>#VALUE!</v>
      </c>
      <c r="DG84" s="18" t="e">
        <f t="shared" si="37"/>
        <v>#DIV/0!</v>
      </c>
      <c r="DH84" s="18" t="e">
        <f t="shared" si="38"/>
        <v>#DIV/0!</v>
      </c>
      <c r="DI84" s="18" t="e">
        <f t="shared" si="39"/>
        <v>#DIV/0!</v>
      </c>
      <c r="DJ84" s="18" t="e">
        <f t="shared" si="40"/>
        <v>#DIV/0!</v>
      </c>
    </row>
    <row r="85" spans="1:114" ht="35.65">
      <c r="A85" s="371" t="s">
        <v>730</v>
      </c>
      <c r="B85" s="371" t="s">
        <v>731</v>
      </c>
      <c r="C85" s="362">
        <v>32</v>
      </c>
      <c r="D85" s="362">
        <v>7</v>
      </c>
      <c r="E85" s="362">
        <v>0</v>
      </c>
      <c r="F85" s="362" t="s">
        <v>611</v>
      </c>
      <c r="G85" s="362">
        <v>23</v>
      </c>
      <c r="H85" s="362" t="s">
        <v>611</v>
      </c>
      <c r="I85" s="372" t="e">
        <f t="shared" si="44"/>
        <v>#VALUE!</v>
      </c>
      <c r="J85" s="362">
        <v>0</v>
      </c>
      <c r="K85" s="362">
        <v>0</v>
      </c>
      <c r="L85" s="362">
        <v>2</v>
      </c>
      <c r="M85" s="372" t="e">
        <f t="shared" si="45"/>
        <v>#VALUE!</v>
      </c>
      <c r="N85" s="262"/>
      <c r="P85" s="258" t="s">
        <v>730</v>
      </c>
      <c r="Q85" s="258" t="s">
        <v>731</v>
      </c>
      <c r="R85" s="125" t="s">
        <v>611</v>
      </c>
      <c r="S85" s="125">
        <v>0</v>
      </c>
      <c r="T85" s="125" t="s">
        <v>611</v>
      </c>
      <c r="U85" s="125">
        <v>0</v>
      </c>
      <c r="V85" s="125">
        <v>0</v>
      </c>
      <c r="W85" s="125">
        <v>0</v>
      </c>
      <c r="X85" s="125">
        <v>0</v>
      </c>
      <c r="Y85" s="125" t="s">
        <v>611</v>
      </c>
      <c r="Z85" s="125"/>
      <c r="AB85" s="258" t="s">
        <v>730</v>
      </c>
      <c r="AC85" s="258" t="s">
        <v>731</v>
      </c>
      <c r="AD85" s="125">
        <v>32</v>
      </c>
      <c r="AE85" s="125">
        <v>7</v>
      </c>
      <c r="AF85" s="125">
        <v>0</v>
      </c>
      <c r="AG85" s="125" t="s">
        <v>611</v>
      </c>
      <c r="AH85" s="125">
        <v>23</v>
      </c>
      <c r="AI85" s="125" t="s">
        <v>611</v>
      </c>
      <c r="AJ85" s="125">
        <v>0</v>
      </c>
      <c r="AK85" s="125">
        <v>0</v>
      </c>
      <c r="AL85" s="125">
        <v>2</v>
      </c>
      <c r="AO85" s="258" t="s">
        <v>730</v>
      </c>
      <c r="AP85" s="258" t="s">
        <v>731</v>
      </c>
      <c r="AQ85" s="125">
        <v>32</v>
      </c>
      <c r="AR85" s="125">
        <v>7</v>
      </c>
      <c r="AS85" s="125">
        <v>0</v>
      </c>
      <c r="AT85" s="125" t="s">
        <v>611</v>
      </c>
      <c r="AU85" s="125">
        <v>23</v>
      </c>
      <c r="AV85" s="125" t="s">
        <v>611</v>
      </c>
      <c r="AW85" s="125">
        <v>0</v>
      </c>
      <c r="AX85" s="125">
        <v>0</v>
      </c>
      <c r="AY85" s="125">
        <v>2</v>
      </c>
      <c r="BB85" s="258" t="s">
        <v>730</v>
      </c>
      <c r="BC85" s="258" t="s">
        <v>731</v>
      </c>
      <c r="BD85" s="125">
        <v>0</v>
      </c>
      <c r="BE85" s="125">
        <v>0</v>
      </c>
      <c r="BF85" s="125">
        <v>0</v>
      </c>
      <c r="BG85" s="125">
        <v>0</v>
      </c>
      <c r="BH85" s="125">
        <v>0</v>
      </c>
      <c r="BI85" s="125">
        <v>0</v>
      </c>
      <c r="BJ85" s="125">
        <v>0</v>
      </c>
      <c r="BK85" s="261"/>
      <c r="BL85" s="261"/>
      <c r="BM85" s="258" t="s">
        <v>730</v>
      </c>
      <c r="BN85" s="258" t="s">
        <v>731</v>
      </c>
      <c r="BO85" s="261" t="e">
        <f t="shared" si="3"/>
        <v>#VALUE!</v>
      </c>
      <c r="BP85" s="261">
        <f t="shared" si="4"/>
        <v>7</v>
      </c>
      <c r="BQ85" s="261">
        <f t="shared" si="5"/>
        <v>0</v>
      </c>
      <c r="BR85" s="261" t="e">
        <f t="shared" si="6"/>
        <v>#VALUE!</v>
      </c>
      <c r="BS85" s="261">
        <f t="shared" si="7"/>
        <v>23</v>
      </c>
      <c r="BT85" s="261" t="e">
        <f t="shared" si="8"/>
        <v>#VALUE!</v>
      </c>
      <c r="BU85" s="261">
        <f t="shared" si="9"/>
        <v>0</v>
      </c>
      <c r="BV85" s="261">
        <f t="shared" si="10"/>
        <v>0</v>
      </c>
      <c r="BW85" s="125">
        <f t="shared" si="50"/>
        <v>0</v>
      </c>
      <c r="BZ85" s="258" t="s">
        <v>730</v>
      </c>
      <c r="CA85" s="258" t="s">
        <v>731</v>
      </c>
      <c r="CB85" s="261" t="e">
        <f t="shared" si="12"/>
        <v>#VALUE!</v>
      </c>
      <c r="CC85" s="409">
        <f t="shared" si="13"/>
        <v>7</v>
      </c>
      <c r="CD85" s="409">
        <f t="shared" si="14"/>
        <v>0</v>
      </c>
      <c r="CE85" s="409" t="e">
        <f t="shared" si="15"/>
        <v>#VALUE!</v>
      </c>
      <c r="CF85" s="409">
        <f t="shared" si="16"/>
        <v>23</v>
      </c>
      <c r="CG85" s="409" t="e">
        <f t="shared" si="17"/>
        <v>#VALUE!</v>
      </c>
      <c r="CH85" s="409">
        <f t="shared" si="18"/>
        <v>0</v>
      </c>
      <c r="CI85" s="409">
        <f t="shared" si="19"/>
        <v>0</v>
      </c>
      <c r="CJ85" s="409">
        <f t="shared" si="20"/>
        <v>0</v>
      </c>
      <c r="CK85" s="372">
        <f t="shared" si="21"/>
        <v>0</v>
      </c>
      <c r="CM85" s="258" t="s">
        <v>730</v>
      </c>
      <c r="CN85" s="258" t="s">
        <v>731</v>
      </c>
      <c r="CO85" s="5" t="e">
        <f t="shared" si="22"/>
        <v>#VALUE!</v>
      </c>
      <c r="CP85" s="5">
        <f t="shared" si="23"/>
        <v>6.1619718309859151E-3</v>
      </c>
      <c r="CQ85" s="5">
        <f t="shared" si="24"/>
        <v>0</v>
      </c>
      <c r="CR85" s="5" t="e">
        <f t="shared" si="25"/>
        <v>#VALUE!</v>
      </c>
      <c r="CS85" s="5">
        <f t="shared" si="26"/>
        <v>6.6724688134609808E-3</v>
      </c>
      <c r="CT85" s="5" t="e">
        <f t="shared" si="27"/>
        <v>#VALUE!</v>
      </c>
      <c r="CU85" s="5">
        <f t="shared" si="28"/>
        <v>0</v>
      </c>
      <c r="CV85" s="5">
        <f t="shared" si="29"/>
        <v>0</v>
      </c>
      <c r="CW85" s="5">
        <f t="shared" si="30"/>
        <v>0</v>
      </c>
      <c r="CX85" s="5">
        <f t="shared" si="31"/>
        <v>0</v>
      </c>
      <c r="CZ85" s="447" t="s">
        <v>730</v>
      </c>
      <c r="DA85" s="447" t="s">
        <v>731</v>
      </c>
      <c r="DB85" s="18" t="e">
        <f t="shared" si="32"/>
        <v>#VALUE!</v>
      </c>
      <c r="DC85" s="18" t="e">
        <f t="shared" si="33"/>
        <v>#DIV/0!</v>
      </c>
      <c r="DD85" s="18" t="e">
        <f t="shared" si="43"/>
        <v>#VALUE!</v>
      </c>
      <c r="DE85" s="18">
        <f t="shared" si="35"/>
        <v>0</v>
      </c>
      <c r="DF85" s="18" t="e">
        <f t="shared" si="36"/>
        <v>#VALUE!</v>
      </c>
      <c r="DG85" s="18" t="e">
        <f t="shared" si="37"/>
        <v>#DIV/0!</v>
      </c>
      <c r="DH85" s="18" t="e">
        <f t="shared" si="38"/>
        <v>#DIV/0!</v>
      </c>
      <c r="DI85" s="18" t="e">
        <f t="shared" si="39"/>
        <v>#DIV/0!</v>
      </c>
      <c r="DJ85" s="18" t="e">
        <f t="shared" si="40"/>
        <v>#DIV/0!</v>
      </c>
    </row>
    <row r="86" spans="1:114" ht="58.9">
      <c r="A86" s="371" t="s">
        <v>732</v>
      </c>
      <c r="B86" s="371" t="s">
        <v>733</v>
      </c>
      <c r="C86" s="362">
        <v>7</v>
      </c>
      <c r="D86" s="362">
        <v>2</v>
      </c>
      <c r="E86" s="362" t="s">
        <v>611</v>
      </c>
      <c r="F86" s="362" t="s">
        <v>611</v>
      </c>
      <c r="G86" s="362">
        <v>5</v>
      </c>
      <c r="H86" s="362" t="s">
        <v>611</v>
      </c>
      <c r="I86" s="372" t="e">
        <f t="shared" si="44"/>
        <v>#VALUE!</v>
      </c>
      <c r="J86" s="362">
        <v>0</v>
      </c>
      <c r="K86" s="362">
        <v>0</v>
      </c>
      <c r="L86" s="362" t="s">
        <v>611</v>
      </c>
      <c r="M86" s="372" t="e">
        <f t="shared" si="45"/>
        <v>#VALUE!</v>
      </c>
      <c r="N86" s="262"/>
      <c r="P86" s="258" t="s">
        <v>732</v>
      </c>
      <c r="Q86" s="258" t="s">
        <v>733</v>
      </c>
      <c r="R86" s="125" t="s">
        <v>611</v>
      </c>
      <c r="S86" s="125" t="s">
        <v>611</v>
      </c>
      <c r="T86" s="125">
        <v>0</v>
      </c>
      <c r="U86" s="125" t="s">
        <v>611</v>
      </c>
      <c r="V86" s="125" t="s">
        <v>611</v>
      </c>
      <c r="W86" s="125">
        <v>0</v>
      </c>
      <c r="X86" s="125">
        <v>0</v>
      </c>
      <c r="Y86" s="125" t="s">
        <v>611</v>
      </c>
      <c r="Z86" s="125"/>
      <c r="AB86" s="258" t="s">
        <v>732</v>
      </c>
      <c r="AC86" s="258" t="s">
        <v>733</v>
      </c>
      <c r="AD86" s="125">
        <v>7</v>
      </c>
      <c r="AE86" s="125">
        <v>2</v>
      </c>
      <c r="AF86" s="125">
        <v>0</v>
      </c>
      <c r="AG86" s="125" t="s">
        <v>611</v>
      </c>
      <c r="AH86" s="125">
        <v>5</v>
      </c>
      <c r="AI86" s="125" t="s">
        <v>611</v>
      </c>
      <c r="AJ86" s="125">
        <v>0</v>
      </c>
      <c r="AK86" s="125">
        <v>0</v>
      </c>
      <c r="AL86" s="125" t="s">
        <v>611</v>
      </c>
      <c r="AO86" s="258" t="s">
        <v>732</v>
      </c>
      <c r="AP86" s="258" t="s">
        <v>733</v>
      </c>
      <c r="AQ86" s="125">
        <v>7</v>
      </c>
      <c r="AR86" s="125">
        <v>2</v>
      </c>
      <c r="AS86" s="125">
        <v>0</v>
      </c>
      <c r="AT86" s="125" t="s">
        <v>611</v>
      </c>
      <c r="AU86" s="125">
        <v>5</v>
      </c>
      <c r="AV86" s="125" t="s">
        <v>611</v>
      </c>
      <c r="AW86" s="125">
        <v>0</v>
      </c>
      <c r="AX86" s="125">
        <v>0</v>
      </c>
      <c r="AY86" s="125" t="s">
        <v>611</v>
      </c>
      <c r="BB86" s="258" t="s">
        <v>732</v>
      </c>
      <c r="BC86" s="258" t="s">
        <v>733</v>
      </c>
      <c r="BD86" s="125">
        <v>0</v>
      </c>
      <c r="BE86" s="125">
        <v>0</v>
      </c>
      <c r="BF86" s="125">
        <v>0</v>
      </c>
      <c r="BG86" s="125">
        <v>0</v>
      </c>
      <c r="BH86" s="125">
        <v>0</v>
      </c>
      <c r="BI86" s="125">
        <v>0</v>
      </c>
      <c r="BJ86" s="125">
        <v>0</v>
      </c>
      <c r="BK86" s="261"/>
      <c r="BL86" s="261"/>
      <c r="BM86" s="258" t="s">
        <v>732</v>
      </c>
      <c r="BN86" s="258" t="s">
        <v>733</v>
      </c>
      <c r="BO86" s="261" t="e">
        <f t="shared" si="3"/>
        <v>#VALUE!</v>
      </c>
      <c r="BP86" s="261">
        <f t="shared" si="4"/>
        <v>2</v>
      </c>
      <c r="BQ86" s="261" t="e">
        <f t="shared" si="5"/>
        <v>#VALUE!</v>
      </c>
      <c r="BR86" s="261" t="e">
        <f t="shared" si="6"/>
        <v>#VALUE!</v>
      </c>
      <c r="BS86" s="261" t="e">
        <f t="shared" si="7"/>
        <v>#VALUE!</v>
      </c>
      <c r="BT86" s="261" t="e">
        <f t="shared" si="8"/>
        <v>#VALUE!</v>
      </c>
      <c r="BU86" s="261">
        <f t="shared" si="9"/>
        <v>0</v>
      </c>
      <c r="BV86" s="261">
        <f t="shared" si="10"/>
        <v>0</v>
      </c>
      <c r="BW86" s="125">
        <f t="shared" si="50"/>
        <v>0</v>
      </c>
      <c r="BZ86" s="258" t="s">
        <v>732</v>
      </c>
      <c r="CA86" s="258" t="s">
        <v>733</v>
      </c>
      <c r="CB86" s="261" t="e">
        <f t="shared" si="12"/>
        <v>#VALUE!</v>
      </c>
      <c r="CC86" s="409">
        <f t="shared" si="13"/>
        <v>2</v>
      </c>
      <c r="CD86" s="409" t="e">
        <f t="shared" si="14"/>
        <v>#VALUE!</v>
      </c>
      <c r="CE86" s="409" t="e">
        <f t="shared" si="15"/>
        <v>#VALUE!</v>
      </c>
      <c r="CF86" s="409" t="e">
        <f t="shared" si="16"/>
        <v>#VALUE!</v>
      </c>
      <c r="CG86" s="409" t="e">
        <f t="shared" si="17"/>
        <v>#VALUE!</v>
      </c>
      <c r="CH86" s="409">
        <f t="shared" si="18"/>
        <v>0</v>
      </c>
      <c r="CI86" s="409">
        <f t="shared" si="19"/>
        <v>0</v>
      </c>
      <c r="CJ86" s="409">
        <f t="shared" si="20"/>
        <v>0</v>
      </c>
      <c r="CK86" s="372">
        <f t="shared" si="21"/>
        <v>0</v>
      </c>
      <c r="CM86" s="258" t="s">
        <v>732</v>
      </c>
      <c r="CN86" s="258" t="s">
        <v>733</v>
      </c>
      <c r="CO86" s="5" t="e">
        <f t="shared" si="22"/>
        <v>#VALUE!</v>
      </c>
      <c r="CP86" s="5">
        <f t="shared" si="23"/>
        <v>1.7605633802816902E-3</v>
      </c>
      <c r="CQ86" s="5" t="e">
        <f t="shared" si="24"/>
        <v>#VALUE!</v>
      </c>
      <c r="CR86" s="5" t="e">
        <f t="shared" si="25"/>
        <v>#VALUE!</v>
      </c>
      <c r="CS86" s="5" t="e">
        <f t="shared" si="26"/>
        <v>#VALUE!</v>
      </c>
      <c r="CT86" s="5" t="e">
        <f t="shared" si="27"/>
        <v>#VALUE!</v>
      </c>
      <c r="CU86" s="5">
        <f t="shared" si="28"/>
        <v>0</v>
      </c>
      <c r="CV86" s="5">
        <f t="shared" si="29"/>
        <v>0</v>
      </c>
      <c r="CW86" s="5">
        <f t="shared" si="30"/>
        <v>0</v>
      </c>
      <c r="CX86" s="5">
        <f t="shared" si="31"/>
        <v>0</v>
      </c>
      <c r="CZ86" s="447" t="s">
        <v>732</v>
      </c>
      <c r="DA86" s="447" t="s">
        <v>733</v>
      </c>
      <c r="DB86" s="18" t="e">
        <f t="shared" si="32"/>
        <v>#VALUE!</v>
      </c>
      <c r="DC86" s="18" t="e">
        <f t="shared" si="33"/>
        <v>#VALUE!</v>
      </c>
      <c r="DD86" s="18" t="e">
        <f t="shared" si="43"/>
        <v>#VALUE!</v>
      </c>
      <c r="DE86" s="18" t="e">
        <f t="shared" si="35"/>
        <v>#VALUE!</v>
      </c>
      <c r="DF86" s="18" t="e">
        <f t="shared" si="36"/>
        <v>#VALUE!</v>
      </c>
      <c r="DG86" s="18" t="e">
        <f t="shared" si="37"/>
        <v>#DIV/0!</v>
      </c>
      <c r="DH86" s="18" t="e">
        <f t="shared" si="38"/>
        <v>#DIV/0!</v>
      </c>
      <c r="DI86" s="18" t="e">
        <f t="shared" si="39"/>
        <v>#DIV/0!</v>
      </c>
      <c r="DJ86" s="18" t="e">
        <f t="shared" si="40"/>
        <v>#DIV/0!</v>
      </c>
    </row>
    <row r="87" spans="1:114" ht="35.65">
      <c r="A87" s="371" t="s">
        <v>734</v>
      </c>
      <c r="B87" s="371" t="s">
        <v>735</v>
      </c>
      <c r="C87" s="362">
        <v>34</v>
      </c>
      <c r="D87" s="362">
        <v>15</v>
      </c>
      <c r="E87" s="362">
        <v>0</v>
      </c>
      <c r="F87" s="362" t="s">
        <v>611</v>
      </c>
      <c r="G87" s="362">
        <v>10</v>
      </c>
      <c r="H87" s="362" t="s">
        <v>611</v>
      </c>
      <c r="I87" s="372" t="e">
        <f t="shared" si="44"/>
        <v>#VALUE!</v>
      </c>
      <c r="J87" s="362">
        <v>4</v>
      </c>
      <c r="K87" s="362">
        <v>1</v>
      </c>
      <c r="L87" s="362">
        <v>4</v>
      </c>
      <c r="M87" s="372" t="e">
        <f t="shared" si="45"/>
        <v>#VALUE!</v>
      </c>
      <c r="N87" s="262"/>
      <c r="P87" s="258" t="s">
        <v>734</v>
      </c>
      <c r="Q87" s="258" t="s">
        <v>735</v>
      </c>
      <c r="R87" s="125">
        <v>4</v>
      </c>
      <c r="S87" s="125">
        <v>0</v>
      </c>
      <c r="T87" s="125">
        <v>0</v>
      </c>
      <c r="U87" s="125" t="s">
        <v>611</v>
      </c>
      <c r="V87" s="125">
        <v>0</v>
      </c>
      <c r="W87" s="125">
        <v>4</v>
      </c>
      <c r="X87" s="125">
        <v>0</v>
      </c>
      <c r="Y87" s="125" t="s">
        <v>611</v>
      </c>
      <c r="Z87" s="125"/>
      <c r="AB87" s="258" t="s">
        <v>734</v>
      </c>
      <c r="AC87" s="258" t="s">
        <v>735</v>
      </c>
      <c r="AD87" s="125">
        <v>30</v>
      </c>
      <c r="AE87" s="125">
        <v>15</v>
      </c>
      <c r="AF87" s="125">
        <v>0</v>
      </c>
      <c r="AG87" s="125" t="s">
        <v>611</v>
      </c>
      <c r="AH87" s="125">
        <v>10</v>
      </c>
      <c r="AI87" s="125" t="s">
        <v>611</v>
      </c>
      <c r="AJ87" s="125">
        <v>1</v>
      </c>
      <c r="AK87" s="125">
        <v>1</v>
      </c>
      <c r="AL87" s="125">
        <v>4</v>
      </c>
      <c r="AO87" s="258" t="s">
        <v>734</v>
      </c>
      <c r="AP87" s="258" t="s">
        <v>735</v>
      </c>
      <c r="AQ87" s="125">
        <v>27</v>
      </c>
      <c r="AR87" s="125">
        <v>15</v>
      </c>
      <c r="AS87" s="125">
        <v>0</v>
      </c>
      <c r="AT87" s="125" t="s">
        <v>611</v>
      </c>
      <c r="AU87" s="125">
        <v>10</v>
      </c>
      <c r="AV87" s="125" t="s">
        <v>611</v>
      </c>
      <c r="AW87" s="125">
        <v>1</v>
      </c>
      <c r="AX87" s="125">
        <v>1</v>
      </c>
      <c r="AY87" s="125" t="s">
        <v>611</v>
      </c>
      <c r="BB87" s="258" t="s">
        <v>734</v>
      </c>
      <c r="BC87" s="258" t="s">
        <v>735</v>
      </c>
      <c r="BD87" s="125">
        <v>3</v>
      </c>
      <c r="BE87" s="125">
        <v>0</v>
      </c>
      <c r="BF87" s="125">
        <v>0</v>
      </c>
      <c r="BG87" s="125">
        <v>0</v>
      </c>
      <c r="BH87" s="125">
        <v>0</v>
      </c>
      <c r="BI87" s="125">
        <v>3</v>
      </c>
      <c r="BJ87" s="125">
        <v>0</v>
      </c>
      <c r="BK87" s="261"/>
      <c r="BL87" s="261"/>
      <c r="BM87" s="258" t="s">
        <v>734</v>
      </c>
      <c r="BN87" s="258" t="s">
        <v>735</v>
      </c>
      <c r="BO87" s="261" t="e">
        <f t="shared" si="3"/>
        <v>#VALUE!</v>
      </c>
      <c r="BP87" s="261">
        <f t="shared" si="4"/>
        <v>15</v>
      </c>
      <c r="BQ87" s="261">
        <f t="shared" si="5"/>
        <v>0</v>
      </c>
      <c r="BR87" s="261" t="e">
        <f t="shared" si="6"/>
        <v>#VALUE!</v>
      </c>
      <c r="BS87" s="261" t="e">
        <f t="shared" si="7"/>
        <v>#VALUE!</v>
      </c>
      <c r="BT87" s="261" t="e">
        <f t="shared" si="8"/>
        <v>#VALUE!</v>
      </c>
      <c r="BU87" s="261">
        <f t="shared" si="9"/>
        <v>5</v>
      </c>
      <c r="BV87" s="261">
        <f t="shared" si="10"/>
        <v>1</v>
      </c>
      <c r="BW87" s="125">
        <f t="shared" si="50"/>
        <v>3</v>
      </c>
      <c r="BZ87" s="258" t="s">
        <v>734</v>
      </c>
      <c r="CA87" s="258" t="s">
        <v>735</v>
      </c>
      <c r="CB87" s="261" t="e">
        <f t="shared" si="12"/>
        <v>#VALUE!</v>
      </c>
      <c r="CC87" s="409">
        <f t="shared" si="13"/>
        <v>15</v>
      </c>
      <c r="CD87" s="409">
        <f t="shared" si="14"/>
        <v>0</v>
      </c>
      <c r="CE87" s="409" t="e">
        <f t="shared" si="15"/>
        <v>#VALUE!</v>
      </c>
      <c r="CF87" s="409" t="e">
        <f t="shared" si="16"/>
        <v>#VALUE!</v>
      </c>
      <c r="CG87" s="409" t="e">
        <f t="shared" si="17"/>
        <v>#VALUE!</v>
      </c>
      <c r="CH87" s="409">
        <f t="shared" si="18"/>
        <v>5</v>
      </c>
      <c r="CI87" s="409">
        <f t="shared" si="19"/>
        <v>1</v>
      </c>
      <c r="CJ87" s="409">
        <f t="shared" si="20"/>
        <v>3</v>
      </c>
      <c r="CK87" s="372">
        <f t="shared" si="21"/>
        <v>0</v>
      </c>
      <c r="CM87" s="258" t="s">
        <v>734</v>
      </c>
      <c r="CN87" s="258" t="s">
        <v>735</v>
      </c>
      <c r="CO87" s="5" t="e">
        <f t="shared" si="22"/>
        <v>#VALUE!</v>
      </c>
      <c r="CP87" s="5">
        <f t="shared" si="23"/>
        <v>1.3204225352112676E-2</v>
      </c>
      <c r="CQ87" s="5">
        <f t="shared" si="24"/>
        <v>0</v>
      </c>
      <c r="CR87" s="5" t="e">
        <f t="shared" si="25"/>
        <v>#VALUE!</v>
      </c>
      <c r="CS87" s="5" t="e">
        <f t="shared" si="26"/>
        <v>#VALUE!</v>
      </c>
      <c r="CT87" s="5" t="e">
        <f t="shared" si="27"/>
        <v>#VALUE!</v>
      </c>
      <c r="CU87" s="5">
        <f t="shared" si="28"/>
        <v>1.2919896640826873E-2</v>
      </c>
      <c r="CV87" s="5">
        <f t="shared" si="29"/>
        <v>3.0303030303030304E-2</v>
      </c>
      <c r="CW87" s="5">
        <f t="shared" si="30"/>
        <v>1.4285714285714285E-2</v>
      </c>
      <c r="CX87" s="5">
        <f t="shared" si="31"/>
        <v>7.0422535211267607E-3</v>
      </c>
      <c r="CZ87" s="447" t="s">
        <v>734</v>
      </c>
      <c r="DA87" s="447" t="s">
        <v>735</v>
      </c>
      <c r="DB87" s="18" t="e">
        <f t="shared" si="32"/>
        <v>#VALUE!</v>
      </c>
      <c r="DC87" s="18" t="e">
        <f t="shared" si="33"/>
        <v>#DIV/0!</v>
      </c>
      <c r="DD87" s="18" t="e">
        <f t="shared" si="43"/>
        <v>#VALUE!</v>
      </c>
      <c r="DE87" s="18" t="e">
        <f t="shared" si="35"/>
        <v>#VALUE!</v>
      </c>
      <c r="DF87" s="18" t="e">
        <f t="shared" si="36"/>
        <v>#VALUE!</v>
      </c>
      <c r="DG87" s="18">
        <f t="shared" si="37"/>
        <v>0.8</v>
      </c>
      <c r="DH87" s="18">
        <f t="shared" si="38"/>
        <v>0</v>
      </c>
      <c r="DI87" s="18">
        <f t="shared" si="39"/>
        <v>0.66666666666666663</v>
      </c>
      <c r="DJ87" s="18">
        <f t="shared" si="40"/>
        <v>0</v>
      </c>
    </row>
    <row r="88" spans="1:114" ht="58.9">
      <c r="A88" s="371" t="s">
        <v>736</v>
      </c>
      <c r="B88" s="371" t="s">
        <v>737</v>
      </c>
      <c r="C88" s="362">
        <v>19</v>
      </c>
      <c r="D88" s="362">
        <v>10</v>
      </c>
      <c r="E88" s="362">
        <v>0</v>
      </c>
      <c r="F88" s="362" t="s">
        <v>611</v>
      </c>
      <c r="G88" s="362">
        <v>1</v>
      </c>
      <c r="H88" s="362" t="s">
        <v>611</v>
      </c>
      <c r="I88" s="372" t="e">
        <f t="shared" ref="I88:I105" si="51">H88+Y88</f>
        <v>#VALUE!</v>
      </c>
      <c r="J88" s="362">
        <v>4</v>
      </c>
      <c r="K88" s="362">
        <v>0</v>
      </c>
      <c r="L88" s="362">
        <v>4</v>
      </c>
      <c r="M88" s="372">
        <f t="shared" ref="M88:M104" si="52">L88-Y88-BX88</f>
        <v>4</v>
      </c>
      <c r="N88" s="262"/>
      <c r="P88" s="258" t="s">
        <v>736</v>
      </c>
      <c r="Q88" s="258" t="s">
        <v>737</v>
      </c>
      <c r="R88" s="125">
        <v>4</v>
      </c>
      <c r="S88" s="125">
        <v>0</v>
      </c>
      <c r="T88" s="125">
        <v>0</v>
      </c>
      <c r="U88" s="125">
        <v>0</v>
      </c>
      <c r="V88" s="125">
        <v>0</v>
      </c>
      <c r="W88" s="125">
        <v>4</v>
      </c>
      <c r="X88" s="125">
        <v>0</v>
      </c>
      <c r="Y88" s="125">
        <v>0</v>
      </c>
      <c r="Z88" s="125"/>
      <c r="AB88" s="258" t="s">
        <v>736</v>
      </c>
      <c r="AC88" s="258" t="s">
        <v>737</v>
      </c>
      <c r="AD88" s="125">
        <v>16</v>
      </c>
      <c r="AE88" s="125">
        <v>10</v>
      </c>
      <c r="AF88" s="125">
        <v>0</v>
      </c>
      <c r="AG88" s="125" t="s">
        <v>611</v>
      </c>
      <c r="AH88" s="125">
        <v>1</v>
      </c>
      <c r="AI88" s="125" t="s">
        <v>611</v>
      </c>
      <c r="AJ88" s="125">
        <v>1</v>
      </c>
      <c r="AK88" s="125">
        <v>0</v>
      </c>
      <c r="AL88" s="125">
        <v>4</v>
      </c>
      <c r="AO88" s="258" t="s">
        <v>736</v>
      </c>
      <c r="AP88" s="258" t="s">
        <v>737</v>
      </c>
      <c r="AQ88" s="125">
        <v>12</v>
      </c>
      <c r="AR88" s="125">
        <v>10</v>
      </c>
      <c r="AS88" s="125">
        <v>0</v>
      </c>
      <c r="AT88" s="125" t="s">
        <v>611</v>
      </c>
      <c r="AU88" s="125">
        <v>1</v>
      </c>
      <c r="AV88" s="125" t="s">
        <v>611</v>
      </c>
      <c r="AW88" s="125">
        <v>1</v>
      </c>
      <c r="AX88" s="125">
        <v>0</v>
      </c>
      <c r="AY88" s="125" t="s">
        <v>611</v>
      </c>
      <c r="BB88" s="258" t="s">
        <v>736</v>
      </c>
      <c r="BC88" s="258" t="s">
        <v>737</v>
      </c>
      <c r="BD88" s="125">
        <v>3</v>
      </c>
      <c r="BE88" s="125">
        <v>0</v>
      </c>
      <c r="BF88" s="125">
        <v>0</v>
      </c>
      <c r="BG88" s="125">
        <v>0</v>
      </c>
      <c r="BH88" s="125">
        <v>0</v>
      </c>
      <c r="BI88" s="125">
        <v>3</v>
      </c>
      <c r="BJ88" s="125">
        <v>0</v>
      </c>
      <c r="BK88" s="261"/>
      <c r="BL88" s="261"/>
      <c r="BM88" s="258" t="s">
        <v>736</v>
      </c>
      <c r="BN88" s="258" t="s">
        <v>737</v>
      </c>
      <c r="BO88" s="261" t="e">
        <f t="shared" si="3"/>
        <v>#VALUE!</v>
      </c>
      <c r="BP88" s="261">
        <f t="shared" si="4"/>
        <v>10</v>
      </c>
      <c r="BQ88" s="261">
        <f t="shared" si="5"/>
        <v>0</v>
      </c>
      <c r="BR88" s="261" t="e">
        <f t="shared" si="6"/>
        <v>#VALUE!</v>
      </c>
      <c r="BS88" s="261">
        <f t="shared" si="7"/>
        <v>1</v>
      </c>
      <c r="BT88" s="261" t="e">
        <f t="shared" si="8"/>
        <v>#VALUE!</v>
      </c>
      <c r="BU88" s="261">
        <f t="shared" si="9"/>
        <v>5</v>
      </c>
      <c r="BV88" s="261">
        <f t="shared" si="10"/>
        <v>0</v>
      </c>
      <c r="BW88" s="125">
        <f t="shared" si="50"/>
        <v>3</v>
      </c>
      <c r="BZ88" s="258" t="s">
        <v>736</v>
      </c>
      <c r="CA88" s="258" t="s">
        <v>737</v>
      </c>
      <c r="CB88" s="261" t="e">
        <f t="shared" si="12"/>
        <v>#VALUE!</v>
      </c>
      <c r="CC88" s="409">
        <f t="shared" si="13"/>
        <v>10</v>
      </c>
      <c r="CD88" s="409">
        <f t="shared" si="14"/>
        <v>0</v>
      </c>
      <c r="CE88" s="409" t="e">
        <f t="shared" si="15"/>
        <v>#VALUE!</v>
      </c>
      <c r="CF88" s="409">
        <f t="shared" si="16"/>
        <v>1</v>
      </c>
      <c r="CG88" s="409" t="e">
        <f t="shared" si="17"/>
        <v>#VALUE!</v>
      </c>
      <c r="CH88" s="409">
        <f t="shared" si="18"/>
        <v>5</v>
      </c>
      <c r="CI88" s="409">
        <f t="shared" si="19"/>
        <v>0</v>
      </c>
      <c r="CJ88" s="409">
        <f t="shared" si="20"/>
        <v>3</v>
      </c>
      <c r="CK88" s="372">
        <f t="shared" si="21"/>
        <v>0</v>
      </c>
      <c r="CM88" s="258" t="s">
        <v>736</v>
      </c>
      <c r="CN88" s="258" t="s">
        <v>737</v>
      </c>
      <c r="CO88" s="5" t="e">
        <f t="shared" si="22"/>
        <v>#VALUE!</v>
      </c>
      <c r="CP88" s="5">
        <f t="shared" si="23"/>
        <v>8.8028169014084511E-3</v>
      </c>
      <c r="CQ88" s="5">
        <f t="shared" si="24"/>
        <v>0</v>
      </c>
      <c r="CR88" s="5" t="e">
        <f t="shared" si="25"/>
        <v>#VALUE!</v>
      </c>
      <c r="CS88" s="5">
        <f t="shared" si="26"/>
        <v>2.9010733971569482E-4</v>
      </c>
      <c r="CT88" s="5" t="e">
        <f t="shared" si="27"/>
        <v>#VALUE!</v>
      </c>
      <c r="CU88" s="5">
        <f t="shared" si="28"/>
        <v>1.2919896640826873E-2</v>
      </c>
      <c r="CV88" s="5">
        <f t="shared" si="29"/>
        <v>0</v>
      </c>
      <c r="CW88" s="5">
        <f t="shared" si="30"/>
        <v>1.1904761904761904E-2</v>
      </c>
      <c r="CX88" s="5">
        <f t="shared" si="31"/>
        <v>7.0422535211267607E-3</v>
      </c>
      <c r="CZ88" s="447" t="s">
        <v>736</v>
      </c>
      <c r="DA88" s="447" t="s">
        <v>737</v>
      </c>
      <c r="DB88" s="18" t="e">
        <f t="shared" si="32"/>
        <v>#VALUE!</v>
      </c>
      <c r="DC88" s="18" t="e">
        <f t="shared" si="33"/>
        <v>#DIV/0!</v>
      </c>
      <c r="DD88" s="18" t="e">
        <f t="shared" si="43"/>
        <v>#VALUE!</v>
      </c>
      <c r="DE88" s="18">
        <f t="shared" si="35"/>
        <v>0</v>
      </c>
      <c r="DF88" s="18" t="e">
        <f t="shared" si="36"/>
        <v>#VALUE!</v>
      </c>
      <c r="DG88" s="18">
        <f t="shared" si="37"/>
        <v>0.8</v>
      </c>
      <c r="DH88" s="18" t="e">
        <f t="shared" si="38"/>
        <v>#DIV/0!</v>
      </c>
      <c r="DI88" s="18">
        <f t="shared" si="39"/>
        <v>0.8</v>
      </c>
      <c r="DJ88" s="18">
        <f t="shared" si="40"/>
        <v>0</v>
      </c>
    </row>
    <row r="89" spans="1:114">
      <c r="A89" s="371" t="s">
        <v>738</v>
      </c>
      <c r="B89" s="371" t="s">
        <v>739</v>
      </c>
      <c r="C89" s="362">
        <v>32</v>
      </c>
      <c r="D89" s="362">
        <v>13</v>
      </c>
      <c r="E89" s="362">
        <v>0</v>
      </c>
      <c r="F89" s="362" t="s">
        <v>611</v>
      </c>
      <c r="G89" s="362">
        <v>14</v>
      </c>
      <c r="H89" s="362" t="s">
        <v>611</v>
      </c>
      <c r="I89" s="372" t="e">
        <f t="shared" si="51"/>
        <v>#VALUE!</v>
      </c>
      <c r="J89" s="362" t="s">
        <v>611</v>
      </c>
      <c r="K89" s="362">
        <v>4</v>
      </c>
      <c r="L89" s="362" t="s">
        <v>611</v>
      </c>
      <c r="M89" s="372" t="e">
        <f t="shared" si="52"/>
        <v>#VALUE!</v>
      </c>
      <c r="N89" s="262"/>
      <c r="P89" s="258" t="s">
        <v>738</v>
      </c>
      <c r="Q89" s="258" t="s">
        <v>739</v>
      </c>
      <c r="R89" s="125" t="s">
        <v>611</v>
      </c>
      <c r="S89" s="125">
        <v>0</v>
      </c>
      <c r="T89" s="125" t="s">
        <v>611</v>
      </c>
      <c r="U89" s="125" t="s">
        <v>611</v>
      </c>
      <c r="V89" s="125" t="s">
        <v>611</v>
      </c>
      <c r="W89" s="125" t="s">
        <v>611</v>
      </c>
      <c r="X89" s="125">
        <v>0</v>
      </c>
      <c r="Y89" s="125" t="s">
        <v>611</v>
      </c>
      <c r="Z89" s="125"/>
      <c r="AB89" s="258" t="s">
        <v>738</v>
      </c>
      <c r="AC89" s="258" t="s">
        <v>739</v>
      </c>
      <c r="AD89" s="125">
        <v>31</v>
      </c>
      <c r="AE89" s="125">
        <v>13</v>
      </c>
      <c r="AF89" s="125">
        <v>0</v>
      </c>
      <c r="AG89" s="125" t="s">
        <v>611</v>
      </c>
      <c r="AH89" s="125">
        <v>14</v>
      </c>
      <c r="AI89" s="125" t="s">
        <v>611</v>
      </c>
      <c r="AJ89" s="125">
        <v>0</v>
      </c>
      <c r="AK89" s="125">
        <v>4</v>
      </c>
      <c r="AL89" s="125" t="s">
        <v>611</v>
      </c>
      <c r="AO89" s="258" t="s">
        <v>738</v>
      </c>
      <c r="AP89" s="258" t="s">
        <v>739</v>
      </c>
      <c r="AQ89" s="125">
        <v>31</v>
      </c>
      <c r="AR89" s="125">
        <v>13</v>
      </c>
      <c r="AS89" s="125">
        <v>0</v>
      </c>
      <c r="AT89" s="125" t="s">
        <v>611</v>
      </c>
      <c r="AU89" s="125">
        <v>14</v>
      </c>
      <c r="AV89" s="125" t="s">
        <v>611</v>
      </c>
      <c r="AW89" s="125">
        <v>0</v>
      </c>
      <c r="AX89" s="125">
        <v>4</v>
      </c>
      <c r="AY89" s="125" t="s">
        <v>611</v>
      </c>
      <c r="BB89" s="258" t="s">
        <v>738</v>
      </c>
      <c r="BC89" s="258" t="s">
        <v>739</v>
      </c>
      <c r="BD89" s="125">
        <v>0</v>
      </c>
      <c r="BE89" s="125">
        <v>0</v>
      </c>
      <c r="BF89" s="125">
        <v>0</v>
      </c>
      <c r="BG89" s="125">
        <v>0</v>
      </c>
      <c r="BH89" s="125">
        <v>0</v>
      </c>
      <c r="BI89" s="125">
        <v>0</v>
      </c>
      <c r="BJ89" s="125">
        <v>0</v>
      </c>
      <c r="BK89" s="261"/>
      <c r="BL89" s="261"/>
      <c r="BM89" s="258" t="s">
        <v>738</v>
      </c>
      <c r="BN89" s="258" t="s">
        <v>739</v>
      </c>
      <c r="BO89" s="261" t="e">
        <f t="shared" ref="BO89:BO104" si="53">SUM(BP89:BW89)</f>
        <v>#VALUE!</v>
      </c>
      <c r="BP89" s="261">
        <f t="shared" ref="BP89:BP104" si="54">AE89</f>
        <v>13</v>
      </c>
      <c r="BQ89" s="261">
        <f t="shared" ref="BQ89:BQ104" si="55">S89+AF89+BJ89</f>
        <v>0</v>
      </c>
      <c r="BR89" s="261" t="e">
        <f t="shared" ref="BR89:BR104" si="56">T89+AG89+BX89</f>
        <v>#VALUE!</v>
      </c>
      <c r="BS89" s="261" t="e">
        <f t="shared" ref="BS89:BS105" si="57">U89+AH89</f>
        <v>#VALUE!</v>
      </c>
      <c r="BT89" s="261" t="e">
        <f t="shared" ref="BT89:BT105" si="58">V89+Y89+AI89</f>
        <v>#VALUE!</v>
      </c>
      <c r="BU89" s="261" t="e">
        <f t="shared" ref="BU89:BU105" si="59">W89+AJ89</f>
        <v>#VALUE!</v>
      </c>
      <c r="BV89" s="261">
        <f t="shared" ref="BV89:BV105" si="60">X89+AK89</f>
        <v>4</v>
      </c>
      <c r="BW89" s="125">
        <f t="shared" si="50"/>
        <v>0</v>
      </c>
      <c r="BZ89" s="258" t="s">
        <v>738</v>
      </c>
      <c r="CA89" s="258" t="s">
        <v>739</v>
      </c>
      <c r="CB89" s="261" t="e">
        <f t="shared" ref="CB89:CB105" si="61">SUM(CC89:CJ89)</f>
        <v>#VALUE!</v>
      </c>
      <c r="CC89" s="409">
        <f t="shared" ref="CC89:CC105" si="62">BP89</f>
        <v>13</v>
      </c>
      <c r="CD89" s="409">
        <f t="shared" ref="CD89:CD105" si="63">S89+AF89</f>
        <v>0</v>
      </c>
      <c r="CE89" s="409" t="e">
        <f t="shared" ref="CE89:CE105" si="64">BR89</f>
        <v>#VALUE!</v>
      </c>
      <c r="CF89" s="409" t="e">
        <f t="shared" ref="CF89:CF105" si="65">BS89</f>
        <v>#VALUE!</v>
      </c>
      <c r="CG89" s="409" t="e">
        <f t="shared" ref="CG89:CG105" si="66">BT89</f>
        <v>#VALUE!</v>
      </c>
      <c r="CH89" s="409" t="e">
        <f t="shared" ref="CH89:CH105" si="67">BU89</f>
        <v>#VALUE!</v>
      </c>
      <c r="CI89" s="409">
        <f t="shared" ref="CI89:CI105" si="68">BV89</f>
        <v>4</v>
      </c>
      <c r="CJ89" s="409">
        <f t="shared" ref="CJ89:CJ105" si="69">BI89</f>
        <v>0</v>
      </c>
      <c r="CK89" s="372">
        <f t="shared" ref="CK89:CK105" si="70">BX89</f>
        <v>0</v>
      </c>
      <c r="CM89" s="258" t="s">
        <v>738</v>
      </c>
      <c r="CN89" s="258" t="s">
        <v>739</v>
      </c>
      <c r="CO89" s="5" t="e">
        <f t="shared" ref="CO89:CO104" si="71">CB89/$BO$105</f>
        <v>#VALUE!</v>
      </c>
      <c r="CP89" s="5">
        <f t="shared" ref="CP89:CP104" si="72">CC89/$BP$105</f>
        <v>1.1443661971830986E-2</v>
      </c>
      <c r="CQ89" s="5">
        <f t="shared" ref="CQ89:CQ104" si="73">CD89/$BQ$105</f>
        <v>0</v>
      </c>
      <c r="CR89" s="5" t="e">
        <f t="shared" ref="CR89:CR104" si="74">CE89/$BR$105</f>
        <v>#VALUE!</v>
      </c>
      <c r="CS89" s="5" t="e">
        <f t="shared" ref="CS89:CS104" si="75">CF89/$BS$105</f>
        <v>#VALUE!</v>
      </c>
      <c r="CT89" s="5" t="e">
        <f t="shared" ref="CT89:CT104" si="76">CG89/$BT$105</f>
        <v>#VALUE!</v>
      </c>
      <c r="CU89" s="5" t="e">
        <f t="shared" ref="CU89:CU104" si="77">CH89/$BU$105</f>
        <v>#VALUE!</v>
      </c>
      <c r="CV89" s="5">
        <f t="shared" ref="CV89:CV104" si="78">CI89/$BV$105</f>
        <v>0.12121212121212122</v>
      </c>
      <c r="CW89" s="5" t="e">
        <f t="shared" ref="CW89:CW104" si="79">(CH89+CI89)/($BU$105+$BV$105)</f>
        <v>#VALUE!</v>
      </c>
      <c r="CX89" s="5">
        <f t="shared" ref="CX89:CX104" si="80">CJ89/$BW$105</f>
        <v>0</v>
      </c>
      <c r="CZ89" s="447" t="s">
        <v>738</v>
      </c>
      <c r="DA89" s="447" t="s">
        <v>739</v>
      </c>
      <c r="DB89" s="18" t="e">
        <f t="shared" ref="DB89:DB104" si="81">R89/CB89</f>
        <v>#VALUE!</v>
      </c>
      <c r="DC89" s="18" t="e">
        <f t="shared" ref="DC89:DC104" si="82">S89/CD89</f>
        <v>#DIV/0!</v>
      </c>
      <c r="DD89" s="18" t="e">
        <f t="shared" si="43"/>
        <v>#VALUE!</v>
      </c>
      <c r="DE89" s="18" t="e">
        <f t="shared" ref="DE89:DE104" si="83">U89/CF89</f>
        <v>#VALUE!</v>
      </c>
      <c r="DF89" s="18" t="e">
        <f t="shared" ref="DF89:DF104" si="84">(V89+Y89)/CG89</f>
        <v>#VALUE!</v>
      </c>
      <c r="DG89" s="18" t="e">
        <f t="shared" ref="DG89:DG104" si="85">W89/CH89</f>
        <v>#VALUE!</v>
      </c>
      <c r="DH89" s="18">
        <f t="shared" ref="DH89:DH104" si="86">X89/CI89</f>
        <v>0</v>
      </c>
      <c r="DI89" s="18" t="e">
        <f t="shared" ref="DI89:DI104" si="87">(W89+X89)/(CH89+CI89)</f>
        <v>#VALUE!</v>
      </c>
      <c r="DJ89" s="18" t="e">
        <f t="shared" ref="DJ89:DJ104" si="88">0/CJ89</f>
        <v>#DIV/0!</v>
      </c>
    </row>
    <row r="90" spans="1:114" ht="24">
      <c r="A90" s="371" t="s">
        <v>740</v>
      </c>
      <c r="B90" s="371" t="s">
        <v>741</v>
      </c>
      <c r="C90" s="362">
        <v>12</v>
      </c>
      <c r="D90" s="362">
        <v>4</v>
      </c>
      <c r="E90" s="362">
        <v>0</v>
      </c>
      <c r="F90" s="362" t="s">
        <v>611</v>
      </c>
      <c r="G90" s="362">
        <v>3</v>
      </c>
      <c r="H90" s="362" t="s">
        <v>611</v>
      </c>
      <c r="I90" s="372" t="e">
        <f t="shared" si="51"/>
        <v>#VALUE!</v>
      </c>
      <c r="J90" s="362" t="s">
        <v>611</v>
      </c>
      <c r="K90" s="362">
        <v>4</v>
      </c>
      <c r="L90" s="362" t="s">
        <v>611</v>
      </c>
      <c r="M90" s="372" t="e">
        <f t="shared" si="52"/>
        <v>#VALUE!</v>
      </c>
      <c r="N90" s="262"/>
      <c r="P90" s="259" t="s">
        <v>740</v>
      </c>
      <c r="Q90" s="258" t="s">
        <v>741</v>
      </c>
      <c r="R90" s="125" t="s">
        <v>611</v>
      </c>
      <c r="S90" s="125">
        <v>0</v>
      </c>
      <c r="T90" s="125">
        <v>0</v>
      </c>
      <c r="U90" s="125">
        <v>0</v>
      </c>
      <c r="V90" s="125">
        <v>0</v>
      </c>
      <c r="W90" s="125" t="s">
        <v>611</v>
      </c>
      <c r="X90" s="125">
        <v>0</v>
      </c>
      <c r="Y90" s="125" t="s">
        <v>611</v>
      </c>
      <c r="Z90" s="125"/>
      <c r="AB90" s="259" t="s">
        <v>740</v>
      </c>
      <c r="AC90" s="258" t="s">
        <v>741</v>
      </c>
      <c r="AD90" s="125">
        <v>11</v>
      </c>
      <c r="AE90" s="125">
        <v>4</v>
      </c>
      <c r="AF90" s="125">
        <v>0</v>
      </c>
      <c r="AG90" s="125" t="s">
        <v>611</v>
      </c>
      <c r="AH90" s="125">
        <v>3</v>
      </c>
      <c r="AI90" s="125" t="s">
        <v>611</v>
      </c>
      <c r="AJ90" s="125">
        <v>0</v>
      </c>
      <c r="AK90" s="125">
        <v>4</v>
      </c>
      <c r="AL90" s="125" t="s">
        <v>611</v>
      </c>
      <c r="AO90" s="259" t="s">
        <v>740</v>
      </c>
      <c r="AP90" s="258" t="s">
        <v>741</v>
      </c>
      <c r="AQ90" s="125">
        <v>11</v>
      </c>
      <c r="AR90" s="125">
        <v>4</v>
      </c>
      <c r="AS90" s="125">
        <v>0</v>
      </c>
      <c r="AT90" s="125" t="s">
        <v>611</v>
      </c>
      <c r="AU90" s="125">
        <v>3</v>
      </c>
      <c r="AV90" s="125" t="s">
        <v>611</v>
      </c>
      <c r="AW90" s="125">
        <v>0</v>
      </c>
      <c r="AX90" s="125">
        <v>4</v>
      </c>
      <c r="AY90" s="125" t="s">
        <v>611</v>
      </c>
      <c r="BB90" s="259" t="s">
        <v>740</v>
      </c>
      <c r="BC90" s="258" t="s">
        <v>741</v>
      </c>
      <c r="BD90" s="125">
        <v>0</v>
      </c>
      <c r="BE90" s="125">
        <v>0</v>
      </c>
      <c r="BF90" s="125">
        <v>0</v>
      </c>
      <c r="BG90" s="125">
        <v>0</v>
      </c>
      <c r="BH90" s="125">
        <v>0</v>
      </c>
      <c r="BI90" s="125">
        <v>0</v>
      </c>
      <c r="BJ90" s="125">
        <v>0</v>
      </c>
      <c r="BK90" s="261"/>
      <c r="BL90" s="261"/>
      <c r="BM90" s="259" t="s">
        <v>740</v>
      </c>
      <c r="BN90" s="258" t="s">
        <v>741</v>
      </c>
      <c r="BO90" s="261" t="e">
        <f t="shared" si="53"/>
        <v>#VALUE!</v>
      </c>
      <c r="BP90" s="261">
        <f t="shared" si="54"/>
        <v>4</v>
      </c>
      <c r="BQ90" s="261">
        <f t="shared" si="55"/>
        <v>0</v>
      </c>
      <c r="BR90" s="261" t="e">
        <f t="shared" si="56"/>
        <v>#VALUE!</v>
      </c>
      <c r="BS90" s="261">
        <f t="shared" si="57"/>
        <v>3</v>
      </c>
      <c r="BT90" s="261" t="e">
        <f t="shared" si="58"/>
        <v>#VALUE!</v>
      </c>
      <c r="BU90" s="261" t="e">
        <f t="shared" si="59"/>
        <v>#VALUE!</v>
      </c>
      <c r="BV90" s="261">
        <f t="shared" si="60"/>
        <v>4</v>
      </c>
      <c r="BW90" s="125">
        <f t="shared" si="50"/>
        <v>0</v>
      </c>
      <c r="BZ90" s="259" t="s">
        <v>740</v>
      </c>
      <c r="CA90" s="258" t="s">
        <v>741</v>
      </c>
      <c r="CB90" s="261" t="e">
        <f t="shared" si="61"/>
        <v>#VALUE!</v>
      </c>
      <c r="CC90" s="409">
        <f t="shared" si="62"/>
        <v>4</v>
      </c>
      <c r="CD90" s="409">
        <f t="shared" si="63"/>
        <v>0</v>
      </c>
      <c r="CE90" s="409" t="e">
        <f t="shared" si="64"/>
        <v>#VALUE!</v>
      </c>
      <c r="CF90" s="409">
        <f t="shared" si="65"/>
        <v>3</v>
      </c>
      <c r="CG90" s="409" t="e">
        <f t="shared" si="66"/>
        <v>#VALUE!</v>
      </c>
      <c r="CH90" s="409" t="e">
        <f t="shared" si="67"/>
        <v>#VALUE!</v>
      </c>
      <c r="CI90" s="409">
        <f t="shared" si="68"/>
        <v>4</v>
      </c>
      <c r="CJ90" s="409">
        <f t="shared" si="69"/>
        <v>0</v>
      </c>
      <c r="CK90" s="372">
        <f t="shared" si="70"/>
        <v>0</v>
      </c>
      <c r="CM90" s="259" t="s">
        <v>740</v>
      </c>
      <c r="CN90" s="258" t="s">
        <v>741</v>
      </c>
      <c r="CO90" s="5" t="e">
        <f t="shared" si="71"/>
        <v>#VALUE!</v>
      </c>
      <c r="CP90" s="5">
        <f t="shared" si="72"/>
        <v>3.5211267605633804E-3</v>
      </c>
      <c r="CQ90" s="5">
        <f t="shared" si="73"/>
        <v>0</v>
      </c>
      <c r="CR90" s="5" t="e">
        <f t="shared" si="74"/>
        <v>#VALUE!</v>
      </c>
      <c r="CS90" s="5">
        <f t="shared" si="75"/>
        <v>8.703220191470844E-4</v>
      </c>
      <c r="CT90" s="5" t="e">
        <f t="shared" si="76"/>
        <v>#VALUE!</v>
      </c>
      <c r="CU90" s="5" t="e">
        <f t="shared" si="77"/>
        <v>#VALUE!</v>
      </c>
      <c r="CV90" s="5">
        <f t="shared" si="78"/>
        <v>0.12121212121212122</v>
      </c>
      <c r="CW90" s="5" t="e">
        <f t="shared" si="79"/>
        <v>#VALUE!</v>
      </c>
      <c r="CX90" s="5">
        <f t="shared" si="80"/>
        <v>0</v>
      </c>
      <c r="CZ90" s="451" t="s">
        <v>740</v>
      </c>
      <c r="DA90" s="447" t="s">
        <v>741</v>
      </c>
      <c r="DB90" s="18" t="e">
        <f t="shared" si="81"/>
        <v>#VALUE!</v>
      </c>
      <c r="DC90" s="18" t="e">
        <f t="shared" si="82"/>
        <v>#DIV/0!</v>
      </c>
      <c r="DD90" s="18" t="e">
        <f t="shared" si="43"/>
        <v>#VALUE!</v>
      </c>
      <c r="DE90" s="18">
        <f t="shared" si="83"/>
        <v>0</v>
      </c>
      <c r="DF90" s="18" t="e">
        <f t="shared" si="84"/>
        <v>#VALUE!</v>
      </c>
      <c r="DG90" s="18" t="e">
        <f t="shared" si="85"/>
        <v>#VALUE!</v>
      </c>
      <c r="DH90" s="18">
        <f t="shared" si="86"/>
        <v>0</v>
      </c>
      <c r="DI90" s="18" t="e">
        <f t="shared" si="87"/>
        <v>#VALUE!</v>
      </c>
      <c r="DJ90" s="18" t="e">
        <f t="shared" si="88"/>
        <v>#DIV/0!</v>
      </c>
    </row>
    <row r="91" spans="1:114" ht="47.25">
      <c r="A91" s="371" t="s">
        <v>742</v>
      </c>
      <c r="B91" s="371" t="s">
        <v>743</v>
      </c>
      <c r="C91" s="362">
        <v>5</v>
      </c>
      <c r="D91" s="362">
        <v>2</v>
      </c>
      <c r="E91" s="362">
        <v>0</v>
      </c>
      <c r="F91" s="362" t="s">
        <v>611</v>
      </c>
      <c r="G91" s="362">
        <v>4</v>
      </c>
      <c r="H91" s="362" t="s">
        <v>611</v>
      </c>
      <c r="I91" s="372" t="e">
        <f t="shared" si="51"/>
        <v>#VALUE!</v>
      </c>
      <c r="J91" s="362">
        <v>0</v>
      </c>
      <c r="K91" s="362">
        <v>0</v>
      </c>
      <c r="L91" s="362" t="s">
        <v>611</v>
      </c>
      <c r="M91" s="372" t="e">
        <f t="shared" si="52"/>
        <v>#VALUE!</v>
      </c>
      <c r="N91" s="262"/>
      <c r="P91" s="259" t="s">
        <v>742</v>
      </c>
      <c r="Q91" s="258" t="s">
        <v>743</v>
      </c>
      <c r="R91" s="125" t="s">
        <v>611</v>
      </c>
      <c r="S91" s="125">
        <v>0</v>
      </c>
      <c r="T91" s="125" t="s">
        <v>611</v>
      </c>
      <c r="U91" s="125">
        <v>0</v>
      </c>
      <c r="V91" s="125" t="s">
        <v>611</v>
      </c>
      <c r="W91" s="125">
        <v>0</v>
      </c>
      <c r="X91" s="125">
        <v>0</v>
      </c>
      <c r="Y91" s="125" t="s">
        <v>611</v>
      </c>
      <c r="Z91" s="125"/>
      <c r="AB91" s="259" t="s">
        <v>742</v>
      </c>
      <c r="AC91" s="258" t="s">
        <v>743</v>
      </c>
      <c r="AD91" s="125">
        <v>5</v>
      </c>
      <c r="AE91" s="125">
        <v>2</v>
      </c>
      <c r="AF91" s="125">
        <v>0</v>
      </c>
      <c r="AG91" s="125" t="s">
        <v>611</v>
      </c>
      <c r="AH91" s="125">
        <v>4</v>
      </c>
      <c r="AI91" s="125" t="s">
        <v>611</v>
      </c>
      <c r="AJ91" s="125">
        <v>0</v>
      </c>
      <c r="AK91" s="125">
        <v>0</v>
      </c>
      <c r="AL91" s="125" t="s">
        <v>611</v>
      </c>
      <c r="AO91" s="259" t="s">
        <v>742</v>
      </c>
      <c r="AP91" s="258" t="s">
        <v>743</v>
      </c>
      <c r="AQ91" s="125">
        <v>5</v>
      </c>
      <c r="AR91" s="125">
        <v>2</v>
      </c>
      <c r="AS91" s="125">
        <v>0</v>
      </c>
      <c r="AT91" s="125" t="s">
        <v>611</v>
      </c>
      <c r="AU91" s="125">
        <v>4</v>
      </c>
      <c r="AV91" s="125" t="s">
        <v>611</v>
      </c>
      <c r="AW91" s="125">
        <v>0</v>
      </c>
      <c r="AX91" s="125">
        <v>0</v>
      </c>
      <c r="AY91" s="125" t="s">
        <v>611</v>
      </c>
      <c r="BB91" s="259" t="s">
        <v>742</v>
      </c>
      <c r="BC91" s="258" t="s">
        <v>743</v>
      </c>
      <c r="BD91" s="125">
        <v>0</v>
      </c>
      <c r="BE91" s="125">
        <v>0</v>
      </c>
      <c r="BF91" s="125">
        <v>0</v>
      </c>
      <c r="BG91" s="125">
        <v>0</v>
      </c>
      <c r="BH91" s="125">
        <v>0</v>
      </c>
      <c r="BI91" s="125">
        <v>0</v>
      </c>
      <c r="BJ91" s="125">
        <v>0</v>
      </c>
      <c r="BK91" s="261"/>
      <c r="BL91" s="261"/>
      <c r="BM91" s="259" t="s">
        <v>742</v>
      </c>
      <c r="BN91" s="258" t="s">
        <v>743</v>
      </c>
      <c r="BO91" s="261" t="e">
        <f t="shared" si="53"/>
        <v>#VALUE!</v>
      </c>
      <c r="BP91" s="261">
        <f t="shared" si="54"/>
        <v>2</v>
      </c>
      <c r="BQ91" s="261">
        <f t="shared" si="55"/>
        <v>0</v>
      </c>
      <c r="BR91" s="261" t="e">
        <f t="shared" si="56"/>
        <v>#VALUE!</v>
      </c>
      <c r="BS91" s="261">
        <f t="shared" si="57"/>
        <v>4</v>
      </c>
      <c r="BT91" s="261" t="e">
        <f t="shared" si="58"/>
        <v>#VALUE!</v>
      </c>
      <c r="BU91" s="261">
        <f t="shared" si="59"/>
        <v>0</v>
      </c>
      <c r="BV91" s="261">
        <f t="shared" si="60"/>
        <v>0</v>
      </c>
      <c r="BW91" s="125">
        <f t="shared" si="50"/>
        <v>0</v>
      </c>
      <c r="BZ91" s="259" t="s">
        <v>742</v>
      </c>
      <c r="CA91" s="258" t="s">
        <v>743</v>
      </c>
      <c r="CB91" s="261" t="e">
        <f t="shared" si="61"/>
        <v>#VALUE!</v>
      </c>
      <c r="CC91" s="409">
        <f t="shared" si="62"/>
        <v>2</v>
      </c>
      <c r="CD91" s="409">
        <f t="shared" si="63"/>
        <v>0</v>
      </c>
      <c r="CE91" s="409" t="e">
        <f t="shared" si="64"/>
        <v>#VALUE!</v>
      </c>
      <c r="CF91" s="409">
        <f t="shared" si="65"/>
        <v>4</v>
      </c>
      <c r="CG91" s="409" t="e">
        <f t="shared" si="66"/>
        <v>#VALUE!</v>
      </c>
      <c r="CH91" s="409">
        <f t="shared" si="67"/>
        <v>0</v>
      </c>
      <c r="CI91" s="409">
        <f t="shared" si="68"/>
        <v>0</v>
      </c>
      <c r="CJ91" s="409">
        <f t="shared" si="69"/>
        <v>0</v>
      </c>
      <c r="CK91" s="372">
        <f t="shared" si="70"/>
        <v>0</v>
      </c>
      <c r="CM91" s="259" t="s">
        <v>742</v>
      </c>
      <c r="CN91" s="258" t="s">
        <v>743</v>
      </c>
      <c r="CO91" s="5" t="e">
        <f t="shared" si="71"/>
        <v>#VALUE!</v>
      </c>
      <c r="CP91" s="5">
        <f t="shared" si="72"/>
        <v>1.7605633802816902E-3</v>
      </c>
      <c r="CQ91" s="5">
        <f t="shared" si="73"/>
        <v>0</v>
      </c>
      <c r="CR91" s="5" t="e">
        <f t="shared" si="74"/>
        <v>#VALUE!</v>
      </c>
      <c r="CS91" s="5">
        <f t="shared" si="75"/>
        <v>1.1604293588627793E-3</v>
      </c>
      <c r="CT91" s="5" t="e">
        <f t="shared" si="76"/>
        <v>#VALUE!</v>
      </c>
      <c r="CU91" s="5">
        <f t="shared" si="77"/>
        <v>0</v>
      </c>
      <c r="CV91" s="5">
        <f t="shared" si="78"/>
        <v>0</v>
      </c>
      <c r="CW91" s="5">
        <f t="shared" si="79"/>
        <v>0</v>
      </c>
      <c r="CX91" s="5">
        <f t="shared" si="80"/>
        <v>0</v>
      </c>
      <c r="CZ91" s="451" t="s">
        <v>742</v>
      </c>
      <c r="DA91" s="447" t="s">
        <v>743</v>
      </c>
      <c r="DB91" s="18" t="e">
        <f t="shared" si="81"/>
        <v>#VALUE!</v>
      </c>
      <c r="DC91" s="18" t="e">
        <f t="shared" si="82"/>
        <v>#DIV/0!</v>
      </c>
      <c r="DD91" s="18" t="e">
        <f t="shared" si="43"/>
        <v>#VALUE!</v>
      </c>
      <c r="DE91" s="18">
        <f t="shared" si="83"/>
        <v>0</v>
      </c>
      <c r="DF91" s="18" t="e">
        <f t="shared" si="84"/>
        <v>#VALUE!</v>
      </c>
      <c r="DG91" s="18" t="e">
        <f t="shared" si="85"/>
        <v>#DIV/0!</v>
      </c>
      <c r="DH91" s="18" t="e">
        <f t="shared" si="86"/>
        <v>#DIV/0!</v>
      </c>
      <c r="DI91" s="18" t="e">
        <f t="shared" si="87"/>
        <v>#DIV/0!</v>
      </c>
      <c r="DJ91" s="18" t="e">
        <f t="shared" si="88"/>
        <v>#DIV/0!</v>
      </c>
    </row>
    <row r="92" spans="1:114" ht="47.25">
      <c r="A92" s="371" t="s">
        <v>744</v>
      </c>
      <c r="B92" s="371" t="s">
        <v>745</v>
      </c>
      <c r="C92" s="362">
        <v>3</v>
      </c>
      <c r="D92" s="362">
        <v>1</v>
      </c>
      <c r="E92" s="362">
        <v>0</v>
      </c>
      <c r="F92" s="362" t="s">
        <v>611</v>
      </c>
      <c r="G92" s="362">
        <v>2</v>
      </c>
      <c r="H92" s="362" t="s">
        <v>611</v>
      </c>
      <c r="I92" s="372" t="e">
        <f t="shared" si="51"/>
        <v>#VALUE!</v>
      </c>
      <c r="J92" s="362">
        <v>0</v>
      </c>
      <c r="K92" s="362">
        <v>0</v>
      </c>
      <c r="L92" s="362" t="s">
        <v>611</v>
      </c>
      <c r="M92" s="372" t="e">
        <f t="shared" si="52"/>
        <v>#VALUE!</v>
      </c>
      <c r="N92" s="262"/>
      <c r="P92" s="258" t="s">
        <v>744</v>
      </c>
      <c r="Q92" s="258" t="s">
        <v>745</v>
      </c>
      <c r="R92" s="125" t="s">
        <v>611</v>
      </c>
      <c r="S92" s="125">
        <v>0</v>
      </c>
      <c r="T92" s="125">
        <v>0</v>
      </c>
      <c r="U92" s="125" t="s">
        <v>611</v>
      </c>
      <c r="V92" s="125">
        <v>0</v>
      </c>
      <c r="W92" s="125">
        <v>0</v>
      </c>
      <c r="X92" s="125">
        <v>0</v>
      </c>
      <c r="Y92" s="125">
        <v>0</v>
      </c>
      <c r="Z92" s="125"/>
      <c r="AB92" s="258" t="s">
        <v>744</v>
      </c>
      <c r="AC92" s="258" t="s">
        <v>745</v>
      </c>
      <c r="AD92" s="125">
        <v>3</v>
      </c>
      <c r="AE92" s="125">
        <v>1</v>
      </c>
      <c r="AF92" s="125">
        <v>0</v>
      </c>
      <c r="AG92" s="125" t="s">
        <v>611</v>
      </c>
      <c r="AH92" s="125">
        <v>2</v>
      </c>
      <c r="AI92" s="125" t="s">
        <v>611</v>
      </c>
      <c r="AJ92" s="125">
        <v>0</v>
      </c>
      <c r="AK92" s="125">
        <v>0</v>
      </c>
      <c r="AL92" s="125" t="s">
        <v>611</v>
      </c>
      <c r="AO92" s="258" t="s">
        <v>744</v>
      </c>
      <c r="AP92" s="258" t="s">
        <v>745</v>
      </c>
      <c r="AQ92" s="125">
        <v>3</v>
      </c>
      <c r="AR92" s="125">
        <v>1</v>
      </c>
      <c r="AS92" s="125">
        <v>0</v>
      </c>
      <c r="AT92" s="125" t="s">
        <v>611</v>
      </c>
      <c r="AU92" s="125">
        <v>2</v>
      </c>
      <c r="AV92" s="125" t="s">
        <v>611</v>
      </c>
      <c r="AW92" s="125">
        <v>0</v>
      </c>
      <c r="AX92" s="125">
        <v>0</v>
      </c>
      <c r="AY92" s="125" t="s">
        <v>611</v>
      </c>
      <c r="BB92" s="258" t="s">
        <v>744</v>
      </c>
      <c r="BC92" s="258" t="s">
        <v>745</v>
      </c>
      <c r="BD92" s="125">
        <v>0</v>
      </c>
      <c r="BE92" s="125">
        <v>0</v>
      </c>
      <c r="BF92" s="125">
        <v>0</v>
      </c>
      <c r="BG92" s="125">
        <v>0</v>
      </c>
      <c r="BH92" s="125">
        <v>0</v>
      </c>
      <c r="BI92" s="125">
        <v>0</v>
      </c>
      <c r="BJ92" s="125">
        <v>0</v>
      </c>
      <c r="BK92" s="261"/>
      <c r="BL92" s="261"/>
      <c r="BM92" s="258" t="s">
        <v>744</v>
      </c>
      <c r="BN92" s="258" t="s">
        <v>745</v>
      </c>
      <c r="BO92" s="261" t="e">
        <f t="shared" si="53"/>
        <v>#VALUE!</v>
      </c>
      <c r="BP92" s="261">
        <f t="shared" si="54"/>
        <v>1</v>
      </c>
      <c r="BQ92" s="261">
        <f t="shared" si="55"/>
        <v>0</v>
      </c>
      <c r="BR92" s="261" t="e">
        <f t="shared" si="56"/>
        <v>#VALUE!</v>
      </c>
      <c r="BS92" s="261" t="e">
        <f t="shared" si="57"/>
        <v>#VALUE!</v>
      </c>
      <c r="BT92" s="261" t="e">
        <f t="shared" si="58"/>
        <v>#VALUE!</v>
      </c>
      <c r="BU92" s="261">
        <f t="shared" si="59"/>
        <v>0</v>
      </c>
      <c r="BV92" s="261">
        <f t="shared" si="60"/>
        <v>0</v>
      </c>
      <c r="BW92" s="125">
        <f t="shared" si="50"/>
        <v>0</v>
      </c>
      <c r="BZ92" s="258" t="s">
        <v>744</v>
      </c>
      <c r="CA92" s="258" t="s">
        <v>745</v>
      </c>
      <c r="CB92" s="261" t="e">
        <f t="shared" si="61"/>
        <v>#VALUE!</v>
      </c>
      <c r="CC92" s="409">
        <f t="shared" si="62"/>
        <v>1</v>
      </c>
      <c r="CD92" s="409">
        <f t="shared" si="63"/>
        <v>0</v>
      </c>
      <c r="CE92" s="409" t="e">
        <f t="shared" si="64"/>
        <v>#VALUE!</v>
      </c>
      <c r="CF92" s="409" t="e">
        <f t="shared" si="65"/>
        <v>#VALUE!</v>
      </c>
      <c r="CG92" s="409" t="e">
        <f t="shared" si="66"/>
        <v>#VALUE!</v>
      </c>
      <c r="CH92" s="409">
        <f t="shared" si="67"/>
        <v>0</v>
      </c>
      <c r="CI92" s="409">
        <f t="shared" si="68"/>
        <v>0</v>
      </c>
      <c r="CJ92" s="409">
        <f t="shared" si="69"/>
        <v>0</v>
      </c>
      <c r="CK92" s="372">
        <f t="shared" si="70"/>
        <v>0</v>
      </c>
      <c r="CM92" s="258" t="s">
        <v>744</v>
      </c>
      <c r="CN92" s="258" t="s">
        <v>745</v>
      </c>
      <c r="CO92" s="5" t="e">
        <f t="shared" si="71"/>
        <v>#VALUE!</v>
      </c>
      <c r="CP92" s="5">
        <f t="shared" si="72"/>
        <v>8.8028169014084509E-4</v>
      </c>
      <c r="CQ92" s="5">
        <f t="shared" si="73"/>
        <v>0</v>
      </c>
      <c r="CR92" s="5" t="e">
        <f t="shared" si="74"/>
        <v>#VALUE!</v>
      </c>
      <c r="CS92" s="5" t="e">
        <f t="shared" si="75"/>
        <v>#VALUE!</v>
      </c>
      <c r="CT92" s="5" t="e">
        <f t="shared" si="76"/>
        <v>#VALUE!</v>
      </c>
      <c r="CU92" s="5">
        <f t="shared" si="77"/>
        <v>0</v>
      </c>
      <c r="CV92" s="5">
        <f t="shared" si="78"/>
        <v>0</v>
      </c>
      <c r="CW92" s="5">
        <f t="shared" si="79"/>
        <v>0</v>
      </c>
      <c r="CX92" s="5">
        <f t="shared" si="80"/>
        <v>0</v>
      </c>
      <c r="CZ92" s="447" t="s">
        <v>744</v>
      </c>
      <c r="DA92" s="447" t="s">
        <v>745</v>
      </c>
      <c r="DB92" s="18" t="e">
        <f t="shared" si="81"/>
        <v>#VALUE!</v>
      </c>
      <c r="DC92" s="18" t="e">
        <f t="shared" si="82"/>
        <v>#DIV/0!</v>
      </c>
      <c r="DD92" s="18" t="e">
        <f t="shared" si="43"/>
        <v>#VALUE!</v>
      </c>
      <c r="DE92" s="18" t="e">
        <f t="shared" si="83"/>
        <v>#VALUE!</v>
      </c>
      <c r="DF92" s="18" t="e">
        <f t="shared" si="84"/>
        <v>#VALUE!</v>
      </c>
      <c r="DG92" s="18" t="e">
        <f t="shared" si="85"/>
        <v>#DIV/0!</v>
      </c>
      <c r="DH92" s="18" t="e">
        <f t="shared" si="86"/>
        <v>#DIV/0!</v>
      </c>
      <c r="DI92" s="18" t="e">
        <f t="shared" si="87"/>
        <v>#DIV/0!</v>
      </c>
      <c r="DJ92" s="18" t="e">
        <f t="shared" si="88"/>
        <v>#DIV/0!</v>
      </c>
    </row>
    <row r="93" spans="1:114" ht="24">
      <c r="A93" s="371" t="s">
        <v>746</v>
      </c>
      <c r="B93" s="371" t="s">
        <v>747</v>
      </c>
      <c r="C93" s="362">
        <v>82</v>
      </c>
      <c r="D93" s="362">
        <v>44</v>
      </c>
      <c r="E93" s="362">
        <v>0</v>
      </c>
      <c r="F93" s="362" t="s">
        <v>631</v>
      </c>
      <c r="G93" s="362">
        <v>33</v>
      </c>
      <c r="H93" s="362">
        <v>2</v>
      </c>
      <c r="I93" s="372" t="e">
        <f t="shared" si="51"/>
        <v>#VALUE!</v>
      </c>
      <c r="J93" s="362">
        <v>0</v>
      </c>
      <c r="K93" s="362">
        <v>0</v>
      </c>
      <c r="L93" s="362" t="s">
        <v>631</v>
      </c>
      <c r="M93" s="372" t="e">
        <f t="shared" si="52"/>
        <v>#VALUE!</v>
      </c>
      <c r="N93" s="262"/>
      <c r="P93" s="258" t="s">
        <v>746</v>
      </c>
      <c r="Q93" s="258" t="s">
        <v>747</v>
      </c>
      <c r="R93" s="125" t="s">
        <v>631</v>
      </c>
      <c r="S93" s="125">
        <v>0</v>
      </c>
      <c r="T93" s="125">
        <v>0</v>
      </c>
      <c r="U93" s="125" t="s">
        <v>611</v>
      </c>
      <c r="V93" s="125" t="s">
        <v>611</v>
      </c>
      <c r="W93" s="125">
        <v>0</v>
      </c>
      <c r="X93" s="125">
        <v>0</v>
      </c>
      <c r="Y93" s="125" t="s">
        <v>631</v>
      </c>
      <c r="Z93" s="125"/>
      <c r="AB93" s="258" t="s">
        <v>746</v>
      </c>
      <c r="AC93" s="258" t="s">
        <v>747</v>
      </c>
      <c r="AD93" s="125">
        <v>79</v>
      </c>
      <c r="AE93" s="125">
        <v>44</v>
      </c>
      <c r="AF93" s="125">
        <v>0</v>
      </c>
      <c r="AG93" s="125" t="s">
        <v>631</v>
      </c>
      <c r="AH93" s="125">
        <v>33</v>
      </c>
      <c r="AI93" s="125">
        <v>2</v>
      </c>
      <c r="AJ93" s="125">
        <v>0</v>
      </c>
      <c r="AK93" s="125">
        <v>0</v>
      </c>
      <c r="AL93" s="125" t="s">
        <v>611</v>
      </c>
      <c r="AO93" s="258" t="s">
        <v>746</v>
      </c>
      <c r="AP93" s="258" t="s">
        <v>747</v>
      </c>
      <c r="AQ93" s="125">
        <v>79</v>
      </c>
      <c r="AR93" s="125">
        <v>44</v>
      </c>
      <c r="AS93" s="125">
        <v>0</v>
      </c>
      <c r="AT93" s="125" t="s">
        <v>631</v>
      </c>
      <c r="AU93" s="125">
        <v>33</v>
      </c>
      <c r="AV93" s="125">
        <v>2</v>
      </c>
      <c r="AW93" s="125">
        <v>0</v>
      </c>
      <c r="AX93" s="125">
        <v>0</v>
      </c>
      <c r="AY93" s="125" t="s">
        <v>611</v>
      </c>
      <c r="BB93" s="258" t="s">
        <v>746</v>
      </c>
      <c r="BC93" s="258" t="s">
        <v>747</v>
      </c>
      <c r="BD93" s="125" t="s">
        <v>611</v>
      </c>
      <c r="BE93" s="125">
        <v>0</v>
      </c>
      <c r="BF93" s="125">
        <v>0</v>
      </c>
      <c r="BG93" s="125" t="s">
        <v>611</v>
      </c>
      <c r="BH93" s="125">
        <v>0</v>
      </c>
      <c r="BI93" s="125">
        <v>0</v>
      </c>
      <c r="BJ93" s="125">
        <v>0</v>
      </c>
      <c r="BK93" s="261"/>
      <c r="BL93" s="261"/>
      <c r="BM93" s="258" t="s">
        <v>746</v>
      </c>
      <c r="BN93" s="258" t="s">
        <v>747</v>
      </c>
      <c r="BO93" s="261" t="e">
        <f t="shared" si="53"/>
        <v>#VALUE!</v>
      </c>
      <c r="BP93" s="261">
        <f t="shared" si="54"/>
        <v>44</v>
      </c>
      <c r="BQ93" s="261">
        <f t="shared" si="55"/>
        <v>0</v>
      </c>
      <c r="BR93" s="261" t="e">
        <f t="shared" si="56"/>
        <v>#VALUE!</v>
      </c>
      <c r="BS93" s="261" t="e">
        <f t="shared" si="57"/>
        <v>#VALUE!</v>
      </c>
      <c r="BT93" s="261" t="e">
        <f t="shared" si="58"/>
        <v>#VALUE!</v>
      </c>
      <c r="BU93" s="261">
        <f t="shared" si="59"/>
        <v>0</v>
      </c>
      <c r="BV93" s="261">
        <f t="shared" si="60"/>
        <v>0</v>
      </c>
      <c r="BW93" s="125">
        <f t="shared" si="50"/>
        <v>0</v>
      </c>
      <c r="BZ93" s="258" t="s">
        <v>746</v>
      </c>
      <c r="CA93" s="258" t="s">
        <v>747</v>
      </c>
      <c r="CB93" s="261" t="e">
        <f t="shared" si="61"/>
        <v>#VALUE!</v>
      </c>
      <c r="CC93" s="409">
        <f t="shared" si="62"/>
        <v>44</v>
      </c>
      <c r="CD93" s="409">
        <f t="shared" si="63"/>
        <v>0</v>
      </c>
      <c r="CE93" s="409" t="e">
        <f t="shared" si="64"/>
        <v>#VALUE!</v>
      </c>
      <c r="CF93" s="409" t="e">
        <f t="shared" si="65"/>
        <v>#VALUE!</v>
      </c>
      <c r="CG93" s="409" t="e">
        <f t="shared" si="66"/>
        <v>#VALUE!</v>
      </c>
      <c r="CH93" s="409">
        <f t="shared" si="67"/>
        <v>0</v>
      </c>
      <c r="CI93" s="409">
        <f t="shared" si="68"/>
        <v>0</v>
      </c>
      <c r="CJ93" s="409">
        <f t="shared" si="69"/>
        <v>0</v>
      </c>
      <c r="CK93" s="372">
        <f t="shared" si="70"/>
        <v>0</v>
      </c>
      <c r="CM93" s="258" t="s">
        <v>746</v>
      </c>
      <c r="CN93" s="258" t="s">
        <v>747</v>
      </c>
      <c r="CO93" s="5" t="e">
        <f t="shared" si="71"/>
        <v>#VALUE!</v>
      </c>
      <c r="CP93" s="5">
        <f t="shared" si="72"/>
        <v>3.873239436619718E-2</v>
      </c>
      <c r="CQ93" s="5">
        <f t="shared" si="73"/>
        <v>0</v>
      </c>
      <c r="CR93" s="5" t="e">
        <f t="shared" si="74"/>
        <v>#VALUE!</v>
      </c>
      <c r="CS93" s="5" t="e">
        <f t="shared" si="75"/>
        <v>#VALUE!</v>
      </c>
      <c r="CT93" s="5" t="e">
        <f t="shared" si="76"/>
        <v>#VALUE!</v>
      </c>
      <c r="CU93" s="5">
        <f t="shared" si="77"/>
        <v>0</v>
      </c>
      <c r="CV93" s="5">
        <f t="shared" si="78"/>
        <v>0</v>
      </c>
      <c r="CW93" s="5">
        <f t="shared" si="79"/>
        <v>0</v>
      </c>
      <c r="CX93" s="5">
        <f t="shared" si="80"/>
        <v>0</v>
      </c>
      <c r="CZ93" s="447" t="s">
        <v>746</v>
      </c>
      <c r="DA93" s="447" t="s">
        <v>747</v>
      </c>
      <c r="DB93" s="18" t="e">
        <f t="shared" si="81"/>
        <v>#VALUE!</v>
      </c>
      <c r="DC93" s="18" t="e">
        <f t="shared" si="82"/>
        <v>#DIV/0!</v>
      </c>
      <c r="DD93" s="18" t="e">
        <f t="shared" si="43"/>
        <v>#VALUE!</v>
      </c>
      <c r="DE93" s="18" t="e">
        <f t="shared" si="83"/>
        <v>#VALUE!</v>
      </c>
      <c r="DF93" s="18" t="e">
        <f t="shared" si="84"/>
        <v>#VALUE!</v>
      </c>
      <c r="DG93" s="18" t="e">
        <f t="shared" si="85"/>
        <v>#DIV/0!</v>
      </c>
      <c r="DH93" s="18" t="e">
        <f t="shared" si="86"/>
        <v>#DIV/0!</v>
      </c>
      <c r="DI93" s="18" t="e">
        <f t="shared" si="87"/>
        <v>#DIV/0!</v>
      </c>
      <c r="DJ93" s="18" t="e">
        <f t="shared" si="88"/>
        <v>#DIV/0!</v>
      </c>
    </row>
    <row r="94" spans="1:114">
      <c r="A94" s="371" t="s">
        <v>748</v>
      </c>
      <c r="B94" s="371" t="s">
        <v>749</v>
      </c>
      <c r="C94" s="362">
        <v>43</v>
      </c>
      <c r="D94" s="362">
        <v>27</v>
      </c>
      <c r="E94" s="362" t="s">
        <v>611</v>
      </c>
      <c r="F94" s="362" t="s">
        <v>611</v>
      </c>
      <c r="G94" s="362">
        <v>15</v>
      </c>
      <c r="H94" s="362">
        <v>1</v>
      </c>
      <c r="I94" s="372" t="e">
        <f t="shared" si="51"/>
        <v>#VALUE!</v>
      </c>
      <c r="J94" s="362">
        <v>0</v>
      </c>
      <c r="K94" s="362">
        <v>0</v>
      </c>
      <c r="L94" s="362" t="s">
        <v>611</v>
      </c>
      <c r="M94" s="372" t="e">
        <f t="shared" si="52"/>
        <v>#VALUE!</v>
      </c>
      <c r="N94" s="262"/>
      <c r="P94" s="258" t="s">
        <v>748</v>
      </c>
      <c r="Q94" s="258" t="s">
        <v>749</v>
      </c>
      <c r="R94" s="125" t="s">
        <v>611</v>
      </c>
      <c r="S94" s="125">
        <v>0</v>
      </c>
      <c r="T94" s="125" t="s">
        <v>611</v>
      </c>
      <c r="U94" s="125">
        <v>0</v>
      </c>
      <c r="V94" s="125">
        <v>0</v>
      </c>
      <c r="W94" s="125">
        <v>0</v>
      </c>
      <c r="X94" s="125">
        <v>0</v>
      </c>
      <c r="Y94" s="125" t="s">
        <v>611</v>
      </c>
      <c r="Z94" s="125"/>
      <c r="AB94" s="258" t="s">
        <v>748</v>
      </c>
      <c r="AC94" s="258" t="s">
        <v>749</v>
      </c>
      <c r="AD94" s="125">
        <v>43</v>
      </c>
      <c r="AE94" s="125">
        <v>27</v>
      </c>
      <c r="AF94" s="125" t="s">
        <v>611</v>
      </c>
      <c r="AG94" s="125" t="s">
        <v>611</v>
      </c>
      <c r="AH94" s="125">
        <v>15</v>
      </c>
      <c r="AI94" s="125">
        <v>1</v>
      </c>
      <c r="AJ94" s="125">
        <v>0</v>
      </c>
      <c r="AK94" s="125">
        <v>0</v>
      </c>
      <c r="AL94" s="125" t="s">
        <v>611</v>
      </c>
      <c r="AO94" s="258" t="s">
        <v>748</v>
      </c>
      <c r="AP94" s="258" t="s">
        <v>749</v>
      </c>
      <c r="AQ94" s="125">
        <v>43</v>
      </c>
      <c r="AR94" s="125">
        <v>27</v>
      </c>
      <c r="AS94" s="125" t="s">
        <v>611</v>
      </c>
      <c r="AT94" s="125" t="s">
        <v>611</v>
      </c>
      <c r="AU94" s="125">
        <v>15</v>
      </c>
      <c r="AV94" s="125">
        <v>1</v>
      </c>
      <c r="AW94" s="125">
        <v>0</v>
      </c>
      <c r="AX94" s="125">
        <v>0</v>
      </c>
      <c r="AY94" s="125" t="s">
        <v>611</v>
      </c>
      <c r="BB94" s="258" t="s">
        <v>748</v>
      </c>
      <c r="BC94" s="258" t="s">
        <v>749</v>
      </c>
      <c r="BD94" s="125">
        <v>0</v>
      </c>
      <c r="BE94" s="125">
        <v>0</v>
      </c>
      <c r="BF94" s="125">
        <v>0</v>
      </c>
      <c r="BG94" s="125">
        <v>0</v>
      </c>
      <c r="BH94" s="125">
        <v>0</v>
      </c>
      <c r="BI94" s="125">
        <v>0</v>
      </c>
      <c r="BJ94" s="125">
        <v>0</v>
      </c>
      <c r="BK94" s="261"/>
      <c r="BL94" s="261"/>
      <c r="BM94" s="258" t="s">
        <v>748</v>
      </c>
      <c r="BN94" s="258" t="s">
        <v>749</v>
      </c>
      <c r="BO94" s="261" t="e">
        <f t="shared" si="53"/>
        <v>#VALUE!</v>
      </c>
      <c r="BP94" s="261">
        <f t="shared" si="54"/>
        <v>27</v>
      </c>
      <c r="BQ94" s="261" t="e">
        <f t="shared" si="55"/>
        <v>#VALUE!</v>
      </c>
      <c r="BR94" s="261" t="e">
        <f t="shared" si="56"/>
        <v>#VALUE!</v>
      </c>
      <c r="BS94" s="261">
        <f t="shared" si="57"/>
        <v>15</v>
      </c>
      <c r="BT94" s="261" t="e">
        <f t="shared" si="58"/>
        <v>#VALUE!</v>
      </c>
      <c r="BU94" s="261">
        <f t="shared" si="59"/>
        <v>0</v>
      </c>
      <c r="BV94" s="261">
        <f t="shared" si="60"/>
        <v>0</v>
      </c>
      <c r="BW94" s="125">
        <f t="shared" si="50"/>
        <v>0</v>
      </c>
      <c r="BZ94" s="258" t="s">
        <v>748</v>
      </c>
      <c r="CA94" s="258" t="s">
        <v>749</v>
      </c>
      <c r="CB94" s="261" t="e">
        <f t="shared" si="61"/>
        <v>#VALUE!</v>
      </c>
      <c r="CC94" s="409">
        <f t="shared" si="62"/>
        <v>27</v>
      </c>
      <c r="CD94" s="409" t="e">
        <f t="shared" si="63"/>
        <v>#VALUE!</v>
      </c>
      <c r="CE94" s="409" t="e">
        <f t="shared" si="64"/>
        <v>#VALUE!</v>
      </c>
      <c r="CF94" s="409">
        <f t="shared" si="65"/>
        <v>15</v>
      </c>
      <c r="CG94" s="409" t="e">
        <f t="shared" si="66"/>
        <v>#VALUE!</v>
      </c>
      <c r="CH94" s="409">
        <f t="shared" si="67"/>
        <v>0</v>
      </c>
      <c r="CI94" s="409">
        <f t="shared" si="68"/>
        <v>0</v>
      </c>
      <c r="CJ94" s="409">
        <f t="shared" si="69"/>
        <v>0</v>
      </c>
      <c r="CK94" s="372">
        <f t="shared" si="70"/>
        <v>0</v>
      </c>
      <c r="CM94" s="258" t="s">
        <v>748</v>
      </c>
      <c r="CN94" s="258" t="s">
        <v>749</v>
      </c>
      <c r="CO94" s="5" t="e">
        <f t="shared" si="71"/>
        <v>#VALUE!</v>
      </c>
      <c r="CP94" s="5">
        <f t="shared" si="72"/>
        <v>2.3767605633802816E-2</v>
      </c>
      <c r="CQ94" s="5" t="e">
        <f t="shared" si="73"/>
        <v>#VALUE!</v>
      </c>
      <c r="CR94" s="5" t="e">
        <f t="shared" si="74"/>
        <v>#VALUE!</v>
      </c>
      <c r="CS94" s="5">
        <f t="shared" si="75"/>
        <v>4.3516100957354219E-3</v>
      </c>
      <c r="CT94" s="5" t="e">
        <f t="shared" si="76"/>
        <v>#VALUE!</v>
      </c>
      <c r="CU94" s="5">
        <f t="shared" si="77"/>
        <v>0</v>
      </c>
      <c r="CV94" s="5">
        <f t="shared" si="78"/>
        <v>0</v>
      </c>
      <c r="CW94" s="5">
        <f t="shared" si="79"/>
        <v>0</v>
      </c>
      <c r="CX94" s="5">
        <f t="shared" si="80"/>
        <v>0</v>
      </c>
      <c r="CZ94" s="447" t="s">
        <v>748</v>
      </c>
      <c r="DA94" s="447" t="s">
        <v>749</v>
      </c>
      <c r="DB94" s="18" t="e">
        <f t="shared" si="81"/>
        <v>#VALUE!</v>
      </c>
      <c r="DC94" s="18" t="e">
        <f t="shared" si="82"/>
        <v>#VALUE!</v>
      </c>
      <c r="DD94" s="18" t="e">
        <f t="shared" si="43"/>
        <v>#VALUE!</v>
      </c>
      <c r="DE94" s="18">
        <f t="shared" si="83"/>
        <v>0</v>
      </c>
      <c r="DF94" s="18" t="e">
        <f t="shared" si="84"/>
        <v>#VALUE!</v>
      </c>
      <c r="DG94" s="18" t="e">
        <f t="shared" si="85"/>
        <v>#DIV/0!</v>
      </c>
      <c r="DH94" s="18" t="e">
        <f t="shared" si="86"/>
        <v>#DIV/0!</v>
      </c>
      <c r="DI94" s="18" t="e">
        <f t="shared" si="87"/>
        <v>#DIV/0!</v>
      </c>
      <c r="DJ94" s="18" t="e">
        <f t="shared" si="88"/>
        <v>#DIV/0!</v>
      </c>
    </row>
    <row r="95" spans="1:114" ht="35.65">
      <c r="A95" s="371" t="s">
        <v>750</v>
      </c>
      <c r="B95" s="371" t="s">
        <v>751</v>
      </c>
      <c r="C95" s="362">
        <v>32</v>
      </c>
      <c r="D95" s="362">
        <v>24</v>
      </c>
      <c r="E95" s="362">
        <v>0</v>
      </c>
      <c r="F95" s="362" t="s">
        <v>611</v>
      </c>
      <c r="G95" s="362">
        <v>8</v>
      </c>
      <c r="H95" s="362" t="s">
        <v>611</v>
      </c>
      <c r="I95" s="372" t="e">
        <f t="shared" si="51"/>
        <v>#VALUE!</v>
      </c>
      <c r="J95" s="362">
        <v>0</v>
      </c>
      <c r="K95" s="362">
        <v>0</v>
      </c>
      <c r="L95" s="362" t="s">
        <v>611</v>
      </c>
      <c r="M95" s="372" t="e">
        <f t="shared" si="52"/>
        <v>#VALUE!</v>
      </c>
      <c r="N95" s="262"/>
      <c r="P95" s="258" t="s">
        <v>750</v>
      </c>
      <c r="Q95" s="258" t="s">
        <v>751</v>
      </c>
      <c r="R95" s="125" t="s">
        <v>611</v>
      </c>
      <c r="S95" s="125">
        <v>0</v>
      </c>
      <c r="T95" s="125">
        <v>0</v>
      </c>
      <c r="U95" s="125">
        <v>0</v>
      </c>
      <c r="V95" s="125">
        <v>0</v>
      </c>
      <c r="W95" s="125">
        <v>0</v>
      </c>
      <c r="X95" s="125">
        <v>0</v>
      </c>
      <c r="Y95" s="125" t="s">
        <v>611</v>
      </c>
      <c r="Z95" s="125"/>
      <c r="AB95" s="258" t="s">
        <v>750</v>
      </c>
      <c r="AC95" s="258" t="s">
        <v>751</v>
      </c>
      <c r="AD95" s="125">
        <v>32</v>
      </c>
      <c r="AE95" s="125">
        <v>24</v>
      </c>
      <c r="AF95" s="125">
        <v>0</v>
      </c>
      <c r="AG95" s="125" t="s">
        <v>611</v>
      </c>
      <c r="AH95" s="125">
        <v>8</v>
      </c>
      <c r="AI95" s="125" t="s">
        <v>611</v>
      </c>
      <c r="AJ95" s="125">
        <v>0</v>
      </c>
      <c r="AK95" s="125">
        <v>0</v>
      </c>
      <c r="AL95" s="125" t="s">
        <v>611</v>
      </c>
      <c r="AO95" s="258" t="s">
        <v>750</v>
      </c>
      <c r="AP95" s="258" t="s">
        <v>751</v>
      </c>
      <c r="AQ95" s="125">
        <v>32</v>
      </c>
      <c r="AR95" s="125">
        <v>24</v>
      </c>
      <c r="AS95" s="125">
        <v>0</v>
      </c>
      <c r="AT95" s="125" t="s">
        <v>611</v>
      </c>
      <c r="AU95" s="125">
        <v>8</v>
      </c>
      <c r="AV95" s="125" t="s">
        <v>611</v>
      </c>
      <c r="AW95" s="125">
        <v>0</v>
      </c>
      <c r="AX95" s="125">
        <v>0</v>
      </c>
      <c r="AY95" s="125" t="s">
        <v>611</v>
      </c>
      <c r="BB95" s="258" t="s">
        <v>750</v>
      </c>
      <c r="BC95" s="258" t="s">
        <v>751</v>
      </c>
      <c r="BD95" s="125">
        <v>0</v>
      </c>
      <c r="BE95" s="125">
        <v>0</v>
      </c>
      <c r="BF95" s="125">
        <v>0</v>
      </c>
      <c r="BG95" s="125">
        <v>0</v>
      </c>
      <c r="BH95" s="125">
        <v>0</v>
      </c>
      <c r="BI95" s="125">
        <v>0</v>
      </c>
      <c r="BJ95" s="125">
        <v>0</v>
      </c>
      <c r="BK95" s="261"/>
      <c r="BL95" s="261"/>
      <c r="BM95" s="258" t="s">
        <v>750</v>
      </c>
      <c r="BN95" s="258" t="s">
        <v>751</v>
      </c>
      <c r="BO95" s="261" t="e">
        <f t="shared" si="53"/>
        <v>#VALUE!</v>
      </c>
      <c r="BP95" s="261">
        <f t="shared" si="54"/>
        <v>24</v>
      </c>
      <c r="BQ95" s="261">
        <f t="shared" si="55"/>
        <v>0</v>
      </c>
      <c r="BR95" s="261" t="e">
        <f t="shared" si="56"/>
        <v>#VALUE!</v>
      </c>
      <c r="BS95" s="261">
        <f t="shared" si="57"/>
        <v>8</v>
      </c>
      <c r="BT95" s="261" t="e">
        <f t="shared" si="58"/>
        <v>#VALUE!</v>
      </c>
      <c r="BU95" s="261">
        <f t="shared" si="59"/>
        <v>0</v>
      </c>
      <c r="BV95" s="261">
        <f t="shared" si="60"/>
        <v>0</v>
      </c>
      <c r="BW95" s="125">
        <f t="shared" si="50"/>
        <v>0</v>
      </c>
      <c r="BZ95" s="258" t="s">
        <v>750</v>
      </c>
      <c r="CA95" s="258" t="s">
        <v>751</v>
      </c>
      <c r="CB95" s="261" t="e">
        <f t="shared" si="61"/>
        <v>#VALUE!</v>
      </c>
      <c r="CC95" s="409">
        <f t="shared" si="62"/>
        <v>24</v>
      </c>
      <c r="CD95" s="409">
        <f t="shared" si="63"/>
        <v>0</v>
      </c>
      <c r="CE95" s="409" t="e">
        <f t="shared" si="64"/>
        <v>#VALUE!</v>
      </c>
      <c r="CF95" s="409">
        <f t="shared" si="65"/>
        <v>8</v>
      </c>
      <c r="CG95" s="409" t="e">
        <f t="shared" si="66"/>
        <v>#VALUE!</v>
      </c>
      <c r="CH95" s="409">
        <f t="shared" si="67"/>
        <v>0</v>
      </c>
      <c r="CI95" s="409">
        <f t="shared" si="68"/>
        <v>0</v>
      </c>
      <c r="CJ95" s="409">
        <f t="shared" si="69"/>
        <v>0</v>
      </c>
      <c r="CK95" s="372">
        <f t="shared" si="70"/>
        <v>0</v>
      </c>
      <c r="CM95" s="258" t="s">
        <v>750</v>
      </c>
      <c r="CN95" s="258" t="s">
        <v>751</v>
      </c>
      <c r="CO95" s="5" t="e">
        <f t="shared" si="71"/>
        <v>#VALUE!</v>
      </c>
      <c r="CP95" s="5">
        <f t="shared" si="72"/>
        <v>2.1126760563380281E-2</v>
      </c>
      <c r="CQ95" s="5">
        <f t="shared" si="73"/>
        <v>0</v>
      </c>
      <c r="CR95" s="5" t="e">
        <f t="shared" si="74"/>
        <v>#VALUE!</v>
      </c>
      <c r="CS95" s="5">
        <f t="shared" si="75"/>
        <v>2.3208587177255585E-3</v>
      </c>
      <c r="CT95" s="5" t="e">
        <f t="shared" si="76"/>
        <v>#VALUE!</v>
      </c>
      <c r="CU95" s="5">
        <f t="shared" si="77"/>
        <v>0</v>
      </c>
      <c r="CV95" s="5">
        <f t="shared" si="78"/>
        <v>0</v>
      </c>
      <c r="CW95" s="5">
        <f t="shared" si="79"/>
        <v>0</v>
      </c>
      <c r="CX95" s="5">
        <f t="shared" si="80"/>
        <v>0</v>
      </c>
      <c r="CZ95" s="447" t="s">
        <v>750</v>
      </c>
      <c r="DA95" s="447" t="s">
        <v>751</v>
      </c>
      <c r="DB95" s="18" t="e">
        <f t="shared" si="81"/>
        <v>#VALUE!</v>
      </c>
      <c r="DC95" s="18" t="e">
        <f t="shared" si="82"/>
        <v>#DIV/0!</v>
      </c>
      <c r="DD95" s="18" t="e">
        <f t="shared" si="43"/>
        <v>#VALUE!</v>
      </c>
      <c r="DE95" s="18">
        <f t="shared" si="83"/>
        <v>0</v>
      </c>
      <c r="DF95" s="18" t="e">
        <f t="shared" si="84"/>
        <v>#VALUE!</v>
      </c>
      <c r="DG95" s="18" t="e">
        <f t="shared" si="85"/>
        <v>#DIV/0!</v>
      </c>
      <c r="DH95" s="18" t="e">
        <f t="shared" si="86"/>
        <v>#DIV/0!</v>
      </c>
      <c r="DI95" s="18" t="e">
        <f t="shared" si="87"/>
        <v>#DIV/0!</v>
      </c>
      <c r="DJ95" s="18" t="e">
        <f t="shared" si="88"/>
        <v>#DIV/0!</v>
      </c>
    </row>
    <row r="96" spans="1:114" ht="47.25">
      <c r="A96" s="371" t="s">
        <v>752</v>
      </c>
      <c r="B96" s="371" t="s">
        <v>753</v>
      </c>
      <c r="C96" s="362">
        <v>17</v>
      </c>
      <c r="D96" s="362">
        <v>13</v>
      </c>
      <c r="E96" s="362">
        <v>0</v>
      </c>
      <c r="F96" s="362" t="s">
        <v>611</v>
      </c>
      <c r="G96" s="362">
        <v>4</v>
      </c>
      <c r="H96" s="362" t="s">
        <v>611</v>
      </c>
      <c r="I96" s="372" t="e">
        <f t="shared" si="51"/>
        <v>#VALUE!</v>
      </c>
      <c r="J96" s="362">
        <v>0</v>
      </c>
      <c r="K96" s="362">
        <v>0</v>
      </c>
      <c r="L96" s="362" t="s">
        <v>611</v>
      </c>
      <c r="M96" s="372" t="e">
        <f t="shared" si="52"/>
        <v>#VALUE!</v>
      </c>
      <c r="N96" s="262"/>
      <c r="P96" s="258" t="s">
        <v>752</v>
      </c>
      <c r="Q96" s="258" t="s">
        <v>753</v>
      </c>
      <c r="R96" s="125" t="s">
        <v>611</v>
      </c>
      <c r="S96" s="125">
        <v>0</v>
      </c>
      <c r="T96" s="125">
        <v>0</v>
      </c>
      <c r="U96" s="125">
        <v>0</v>
      </c>
      <c r="V96" s="125">
        <v>0</v>
      </c>
      <c r="W96" s="125">
        <v>0</v>
      </c>
      <c r="X96" s="125">
        <v>0</v>
      </c>
      <c r="Y96" s="125" t="s">
        <v>611</v>
      </c>
      <c r="Z96" s="125"/>
      <c r="AB96" s="258" t="s">
        <v>752</v>
      </c>
      <c r="AC96" s="258" t="s">
        <v>753</v>
      </c>
      <c r="AD96" s="125">
        <v>17</v>
      </c>
      <c r="AE96" s="125">
        <v>13</v>
      </c>
      <c r="AF96" s="125">
        <v>0</v>
      </c>
      <c r="AG96" s="125" t="s">
        <v>611</v>
      </c>
      <c r="AH96" s="125">
        <v>4</v>
      </c>
      <c r="AI96" s="125" t="s">
        <v>611</v>
      </c>
      <c r="AJ96" s="125">
        <v>0</v>
      </c>
      <c r="AK96" s="125">
        <v>0</v>
      </c>
      <c r="AL96" s="125" t="s">
        <v>611</v>
      </c>
      <c r="AO96" s="258" t="s">
        <v>752</v>
      </c>
      <c r="AP96" s="258" t="s">
        <v>753</v>
      </c>
      <c r="AQ96" s="125">
        <v>17</v>
      </c>
      <c r="AR96" s="125">
        <v>13</v>
      </c>
      <c r="AS96" s="125">
        <v>0</v>
      </c>
      <c r="AT96" s="125" t="s">
        <v>611</v>
      </c>
      <c r="AU96" s="125">
        <v>4</v>
      </c>
      <c r="AV96" s="125" t="s">
        <v>611</v>
      </c>
      <c r="AW96" s="125">
        <v>0</v>
      </c>
      <c r="AX96" s="125">
        <v>0</v>
      </c>
      <c r="AY96" s="125" t="s">
        <v>611</v>
      </c>
      <c r="BB96" s="258" t="s">
        <v>752</v>
      </c>
      <c r="BC96" s="258" t="s">
        <v>753</v>
      </c>
      <c r="BD96" s="125">
        <v>0</v>
      </c>
      <c r="BE96" s="125">
        <v>0</v>
      </c>
      <c r="BF96" s="125">
        <v>0</v>
      </c>
      <c r="BG96" s="125">
        <v>0</v>
      </c>
      <c r="BH96" s="125">
        <v>0</v>
      </c>
      <c r="BI96" s="125">
        <v>0</v>
      </c>
      <c r="BJ96" s="125">
        <v>0</v>
      </c>
      <c r="BK96" s="261"/>
      <c r="BL96" s="261"/>
      <c r="BM96" s="258" t="s">
        <v>752</v>
      </c>
      <c r="BN96" s="258" t="s">
        <v>753</v>
      </c>
      <c r="BO96" s="261" t="e">
        <f t="shared" si="53"/>
        <v>#VALUE!</v>
      </c>
      <c r="BP96" s="261">
        <f t="shared" si="54"/>
        <v>13</v>
      </c>
      <c r="BQ96" s="261">
        <f t="shared" si="55"/>
        <v>0</v>
      </c>
      <c r="BR96" s="261" t="e">
        <f t="shared" si="56"/>
        <v>#VALUE!</v>
      </c>
      <c r="BS96" s="261">
        <f t="shared" si="57"/>
        <v>4</v>
      </c>
      <c r="BT96" s="261" t="e">
        <f t="shared" si="58"/>
        <v>#VALUE!</v>
      </c>
      <c r="BU96" s="261">
        <f t="shared" si="59"/>
        <v>0</v>
      </c>
      <c r="BV96" s="261">
        <f t="shared" si="60"/>
        <v>0</v>
      </c>
      <c r="BW96" s="125">
        <f t="shared" si="50"/>
        <v>0</v>
      </c>
      <c r="BZ96" s="258" t="s">
        <v>752</v>
      </c>
      <c r="CA96" s="258" t="s">
        <v>753</v>
      </c>
      <c r="CB96" s="261" t="e">
        <f t="shared" si="61"/>
        <v>#VALUE!</v>
      </c>
      <c r="CC96" s="409">
        <f t="shared" si="62"/>
        <v>13</v>
      </c>
      <c r="CD96" s="409">
        <f t="shared" si="63"/>
        <v>0</v>
      </c>
      <c r="CE96" s="409" t="e">
        <f t="shared" si="64"/>
        <v>#VALUE!</v>
      </c>
      <c r="CF96" s="409">
        <f t="shared" si="65"/>
        <v>4</v>
      </c>
      <c r="CG96" s="409" t="e">
        <f t="shared" si="66"/>
        <v>#VALUE!</v>
      </c>
      <c r="CH96" s="409">
        <f t="shared" si="67"/>
        <v>0</v>
      </c>
      <c r="CI96" s="409">
        <f t="shared" si="68"/>
        <v>0</v>
      </c>
      <c r="CJ96" s="409">
        <f t="shared" si="69"/>
        <v>0</v>
      </c>
      <c r="CK96" s="372">
        <f t="shared" si="70"/>
        <v>0</v>
      </c>
      <c r="CM96" s="258" t="s">
        <v>752</v>
      </c>
      <c r="CN96" s="258" t="s">
        <v>753</v>
      </c>
      <c r="CO96" s="5" t="e">
        <f t="shared" si="71"/>
        <v>#VALUE!</v>
      </c>
      <c r="CP96" s="5">
        <f t="shared" si="72"/>
        <v>1.1443661971830986E-2</v>
      </c>
      <c r="CQ96" s="5">
        <f t="shared" si="73"/>
        <v>0</v>
      </c>
      <c r="CR96" s="5" t="e">
        <f t="shared" si="74"/>
        <v>#VALUE!</v>
      </c>
      <c r="CS96" s="5">
        <f t="shared" si="75"/>
        <v>1.1604293588627793E-3</v>
      </c>
      <c r="CT96" s="5" t="e">
        <f t="shared" si="76"/>
        <v>#VALUE!</v>
      </c>
      <c r="CU96" s="5">
        <f t="shared" si="77"/>
        <v>0</v>
      </c>
      <c r="CV96" s="5">
        <f t="shared" si="78"/>
        <v>0</v>
      </c>
      <c r="CW96" s="5">
        <f t="shared" si="79"/>
        <v>0</v>
      </c>
      <c r="CX96" s="5">
        <f t="shared" si="80"/>
        <v>0</v>
      </c>
      <c r="CZ96" s="447" t="s">
        <v>752</v>
      </c>
      <c r="DA96" s="447" t="s">
        <v>753</v>
      </c>
      <c r="DB96" s="18" t="e">
        <f t="shared" si="81"/>
        <v>#VALUE!</v>
      </c>
      <c r="DC96" s="18" t="e">
        <f t="shared" si="82"/>
        <v>#DIV/0!</v>
      </c>
      <c r="DD96" s="18" t="e">
        <f t="shared" si="43"/>
        <v>#VALUE!</v>
      </c>
      <c r="DE96" s="18">
        <f t="shared" si="83"/>
        <v>0</v>
      </c>
      <c r="DF96" s="18" t="e">
        <f t="shared" si="84"/>
        <v>#VALUE!</v>
      </c>
      <c r="DG96" s="18" t="e">
        <f t="shared" si="85"/>
        <v>#DIV/0!</v>
      </c>
      <c r="DH96" s="18" t="e">
        <f t="shared" si="86"/>
        <v>#DIV/0!</v>
      </c>
      <c r="DI96" s="18" t="e">
        <f t="shared" si="87"/>
        <v>#DIV/0!</v>
      </c>
      <c r="DJ96" s="18" t="e">
        <f t="shared" si="88"/>
        <v>#DIV/0!</v>
      </c>
    </row>
    <row r="97" spans="1:114" ht="58.9">
      <c r="A97" s="371" t="s">
        <v>754</v>
      </c>
      <c r="B97" s="371" t="s">
        <v>755</v>
      </c>
      <c r="C97" s="362">
        <v>33</v>
      </c>
      <c r="D97" s="362">
        <v>18</v>
      </c>
      <c r="E97" s="362">
        <v>0</v>
      </c>
      <c r="F97" s="362" t="s">
        <v>611</v>
      </c>
      <c r="G97" s="362">
        <v>12</v>
      </c>
      <c r="H97" s="362" t="s">
        <v>611</v>
      </c>
      <c r="I97" s="372" t="e">
        <f t="shared" si="51"/>
        <v>#VALUE!</v>
      </c>
      <c r="J97" s="362">
        <v>0</v>
      </c>
      <c r="K97" s="362">
        <v>0</v>
      </c>
      <c r="L97" s="362">
        <v>2</v>
      </c>
      <c r="M97" s="372" t="e">
        <f t="shared" si="52"/>
        <v>#VALUE!</v>
      </c>
      <c r="N97" s="262"/>
      <c r="P97" s="258" t="s">
        <v>754</v>
      </c>
      <c r="Q97" s="258" t="s">
        <v>755</v>
      </c>
      <c r="R97" s="125" t="s">
        <v>611</v>
      </c>
      <c r="S97" s="125">
        <v>0</v>
      </c>
      <c r="T97" s="125">
        <v>0</v>
      </c>
      <c r="U97" s="125">
        <v>0</v>
      </c>
      <c r="V97" s="125">
        <v>0</v>
      </c>
      <c r="W97" s="125">
        <v>0</v>
      </c>
      <c r="X97" s="125">
        <v>0</v>
      </c>
      <c r="Y97" s="125" t="s">
        <v>611</v>
      </c>
      <c r="Z97" s="125"/>
      <c r="AB97" s="258" t="s">
        <v>754</v>
      </c>
      <c r="AC97" s="258" t="s">
        <v>755</v>
      </c>
      <c r="AD97" s="125">
        <v>32</v>
      </c>
      <c r="AE97" s="125">
        <v>18</v>
      </c>
      <c r="AF97" s="125">
        <v>0</v>
      </c>
      <c r="AG97" s="125" t="s">
        <v>611</v>
      </c>
      <c r="AH97" s="125">
        <v>12</v>
      </c>
      <c r="AI97" s="125" t="s">
        <v>611</v>
      </c>
      <c r="AJ97" s="125">
        <v>0</v>
      </c>
      <c r="AK97" s="125">
        <v>0</v>
      </c>
      <c r="AL97" s="125">
        <v>1</v>
      </c>
      <c r="AO97" s="258" t="s">
        <v>754</v>
      </c>
      <c r="AP97" s="258" t="s">
        <v>755</v>
      </c>
      <c r="AQ97" s="125">
        <v>32</v>
      </c>
      <c r="AR97" s="125">
        <v>18</v>
      </c>
      <c r="AS97" s="125">
        <v>0</v>
      </c>
      <c r="AT97" s="125" t="s">
        <v>611</v>
      </c>
      <c r="AU97" s="125">
        <v>12</v>
      </c>
      <c r="AV97" s="125" t="s">
        <v>611</v>
      </c>
      <c r="AW97" s="125">
        <v>0</v>
      </c>
      <c r="AX97" s="125">
        <v>0</v>
      </c>
      <c r="AY97" s="125">
        <v>1</v>
      </c>
      <c r="BB97" s="258" t="s">
        <v>754</v>
      </c>
      <c r="BC97" s="258" t="s">
        <v>755</v>
      </c>
      <c r="BD97" s="125">
        <v>0</v>
      </c>
      <c r="BE97" s="125">
        <v>0</v>
      </c>
      <c r="BF97" s="125">
        <v>0</v>
      </c>
      <c r="BG97" s="125">
        <v>0</v>
      </c>
      <c r="BH97" s="125">
        <v>0</v>
      </c>
      <c r="BI97" s="125">
        <v>0</v>
      </c>
      <c r="BJ97" s="125">
        <v>0</v>
      </c>
      <c r="BK97" s="261"/>
      <c r="BL97" s="261"/>
      <c r="BM97" s="258" t="s">
        <v>754</v>
      </c>
      <c r="BN97" s="258" t="s">
        <v>755</v>
      </c>
      <c r="BO97" s="261" t="e">
        <f t="shared" si="53"/>
        <v>#VALUE!</v>
      </c>
      <c r="BP97" s="261">
        <f t="shared" si="54"/>
        <v>18</v>
      </c>
      <c r="BQ97" s="261">
        <f t="shared" si="55"/>
        <v>0</v>
      </c>
      <c r="BR97" s="261" t="e">
        <f t="shared" si="56"/>
        <v>#VALUE!</v>
      </c>
      <c r="BS97" s="261">
        <f t="shared" si="57"/>
        <v>12</v>
      </c>
      <c r="BT97" s="261" t="e">
        <f t="shared" si="58"/>
        <v>#VALUE!</v>
      </c>
      <c r="BU97" s="261">
        <f t="shared" si="59"/>
        <v>0</v>
      </c>
      <c r="BV97" s="261">
        <f t="shared" si="60"/>
        <v>0</v>
      </c>
      <c r="BW97" s="125">
        <f t="shared" si="50"/>
        <v>0</v>
      </c>
      <c r="BZ97" s="258" t="s">
        <v>754</v>
      </c>
      <c r="CA97" s="258" t="s">
        <v>755</v>
      </c>
      <c r="CB97" s="261" t="e">
        <f t="shared" si="61"/>
        <v>#VALUE!</v>
      </c>
      <c r="CC97" s="409">
        <f t="shared" si="62"/>
        <v>18</v>
      </c>
      <c r="CD97" s="409">
        <f t="shared" si="63"/>
        <v>0</v>
      </c>
      <c r="CE97" s="409" t="e">
        <f t="shared" si="64"/>
        <v>#VALUE!</v>
      </c>
      <c r="CF97" s="409">
        <f t="shared" si="65"/>
        <v>12</v>
      </c>
      <c r="CG97" s="409" t="e">
        <f t="shared" si="66"/>
        <v>#VALUE!</v>
      </c>
      <c r="CH97" s="409">
        <f t="shared" si="67"/>
        <v>0</v>
      </c>
      <c r="CI97" s="409">
        <f t="shared" si="68"/>
        <v>0</v>
      </c>
      <c r="CJ97" s="409">
        <f t="shared" si="69"/>
        <v>0</v>
      </c>
      <c r="CK97" s="372">
        <f t="shared" si="70"/>
        <v>0</v>
      </c>
      <c r="CM97" s="258" t="s">
        <v>754</v>
      </c>
      <c r="CN97" s="258" t="s">
        <v>755</v>
      </c>
      <c r="CO97" s="5" t="e">
        <f t="shared" si="71"/>
        <v>#VALUE!</v>
      </c>
      <c r="CP97" s="5">
        <f t="shared" si="72"/>
        <v>1.5845070422535211E-2</v>
      </c>
      <c r="CQ97" s="5">
        <f t="shared" si="73"/>
        <v>0</v>
      </c>
      <c r="CR97" s="5" t="e">
        <f t="shared" si="74"/>
        <v>#VALUE!</v>
      </c>
      <c r="CS97" s="5">
        <f t="shared" si="75"/>
        <v>3.4812880765883376E-3</v>
      </c>
      <c r="CT97" s="5" t="e">
        <f t="shared" si="76"/>
        <v>#VALUE!</v>
      </c>
      <c r="CU97" s="5">
        <f t="shared" si="77"/>
        <v>0</v>
      </c>
      <c r="CV97" s="5">
        <f t="shared" si="78"/>
        <v>0</v>
      </c>
      <c r="CW97" s="5">
        <f t="shared" si="79"/>
        <v>0</v>
      </c>
      <c r="CX97" s="5">
        <f t="shared" si="80"/>
        <v>0</v>
      </c>
      <c r="CZ97" s="447" t="s">
        <v>754</v>
      </c>
      <c r="DA97" s="447" t="s">
        <v>755</v>
      </c>
      <c r="DB97" s="18" t="e">
        <f t="shared" si="81"/>
        <v>#VALUE!</v>
      </c>
      <c r="DC97" s="18" t="e">
        <f t="shared" si="82"/>
        <v>#DIV/0!</v>
      </c>
      <c r="DD97" s="18" t="e">
        <f t="shared" si="43"/>
        <v>#VALUE!</v>
      </c>
      <c r="DE97" s="18">
        <f t="shared" si="83"/>
        <v>0</v>
      </c>
      <c r="DF97" s="18" t="e">
        <f t="shared" si="84"/>
        <v>#VALUE!</v>
      </c>
      <c r="DG97" s="18" t="e">
        <f t="shared" si="85"/>
        <v>#DIV/0!</v>
      </c>
      <c r="DH97" s="18" t="e">
        <f t="shared" si="86"/>
        <v>#DIV/0!</v>
      </c>
      <c r="DI97" s="18" t="e">
        <f t="shared" si="87"/>
        <v>#DIV/0!</v>
      </c>
      <c r="DJ97" s="18" t="e">
        <f t="shared" si="88"/>
        <v>#DIV/0!</v>
      </c>
    </row>
    <row r="98" spans="1:114" ht="24">
      <c r="A98" s="371" t="s">
        <v>756</v>
      </c>
      <c r="B98" s="371" t="s">
        <v>757</v>
      </c>
      <c r="C98" s="362">
        <v>113</v>
      </c>
      <c r="D98" s="362">
        <v>58</v>
      </c>
      <c r="E98" s="362">
        <v>1</v>
      </c>
      <c r="F98" s="362" t="s">
        <v>631</v>
      </c>
      <c r="G98" s="362">
        <v>45</v>
      </c>
      <c r="H98" s="362">
        <v>2</v>
      </c>
      <c r="I98" s="372" t="e">
        <f t="shared" si="51"/>
        <v>#VALUE!</v>
      </c>
      <c r="J98" s="362">
        <v>0</v>
      </c>
      <c r="K98" s="362">
        <v>0</v>
      </c>
      <c r="L98" s="362">
        <v>4</v>
      </c>
      <c r="M98" s="372" t="e">
        <f t="shared" si="52"/>
        <v>#VALUE!</v>
      </c>
      <c r="N98" s="262"/>
      <c r="P98" s="258" t="s">
        <v>756</v>
      </c>
      <c r="Q98" s="258" t="s">
        <v>757</v>
      </c>
      <c r="R98" s="125" t="s">
        <v>631</v>
      </c>
      <c r="S98" s="125">
        <v>0</v>
      </c>
      <c r="T98" s="125">
        <v>0</v>
      </c>
      <c r="U98" s="125" t="s">
        <v>631</v>
      </c>
      <c r="V98" s="125" t="s">
        <v>611</v>
      </c>
      <c r="W98" s="125">
        <v>0</v>
      </c>
      <c r="X98" s="125">
        <v>0</v>
      </c>
      <c r="Y98" s="125" t="s">
        <v>631</v>
      </c>
      <c r="Z98" s="125"/>
      <c r="AB98" s="258" t="s">
        <v>756</v>
      </c>
      <c r="AC98" s="258" t="s">
        <v>757</v>
      </c>
      <c r="AD98" s="125">
        <v>110</v>
      </c>
      <c r="AE98" s="125">
        <v>58</v>
      </c>
      <c r="AF98" s="125">
        <v>1</v>
      </c>
      <c r="AG98" s="125" t="s">
        <v>631</v>
      </c>
      <c r="AH98" s="125">
        <v>44</v>
      </c>
      <c r="AI98" s="125">
        <v>2</v>
      </c>
      <c r="AJ98" s="125">
        <v>0</v>
      </c>
      <c r="AK98" s="125">
        <v>0</v>
      </c>
      <c r="AL98" s="125">
        <v>3</v>
      </c>
      <c r="AO98" s="258" t="s">
        <v>756</v>
      </c>
      <c r="AP98" s="258" t="s">
        <v>757</v>
      </c>
      <c r="AQ98" s="125">
        <v>110</v>
      </c>
      <c r="AR98" s="125">
        <v>58</v>
      </c>
      <c r="AS98" s="125">
        <v>1</v>
      </c>
      <c r="AT98" s="125" t="s">
        <v>631</v>
      </c>
      <c r="AU98" s="125">
        <v>44</v>
      </c>
      <c r="AV98" s="125">
        <v>2</v>
      </c>
      <c r="AW98" s="125">
        <v>0</v>
      </c>
      <c r="AX98" s="125">
        <v>0</v>
      </c>
      <c r="AY98" s="125">
        <v>3</v>
      </c>
      <c r="BB98" s="258" t="s">
        <v>756</v>
      </c>
      <c r="BC98" s="258" t="s">
        <v>757</v>
      </c>
      <c r="BD98" s="125" t="s">
        <v>669</v>
      </c>
      <c r="BE98" s="125">
        <v>0</v>
      </c>
      <c r="BF98" s="125" t="s">
        <v>669</v>
      </c>
      <c r="BG98" s="125">
        <v>0</v>
      </c>
      <c r="BH98" s="125">
        <v>0</v>
      </c>
      <c r="BI98" s="125">
        <v>0</v>
      </c>
      <c r="BJ98" s="125">
        <v>0</v>
      </c>
      <c r="BK98" s="261"/>
      <c r="BL98" s="261"/>
      <c r="BM98" s="258" t="s">
        <v>756</v>
      </c>
      <c r="BN98" s="258" t="s">
        <v>757</v>
      </c>
      <c r="BO98" s="261" t="e">
        <f t="shared" si="53"/>
        <v>#VALUE!</v>
      </c>
      <c r="BP98" s="261">
        <f t="shared" si="54"/>
        <v>58</v>
      </c>
      <c r="BQ98" s="261">
        <f t="shared" si="55"/>
        <v>1</v>
      </c>
      <c r="BR98" s="261" t="e">
        <f t="shared" si="56"/>
        <v>#VALUE!</v>
      </c>
      <c r="BS98" s="261" t="e">
        <f t="shared" si="57"/>
        <v>#VALUE!</v>
      </c>
      <c r="BT98" s="261" t="e">
        <f t="shared" si="58"/>
        <v>#VALUE!</v>
      </c>
      <c r="BU98" s="261">
        <f t="shared" si="59"/>
        <v>0</v>
      </c>
      <c r="BV98" s="261">
        <f t="shared" si="60"/>
        <v>0</v>
      </c>
      <c r="BW98" s="125">
        <f t="shared" si="50"/>
        <v>0</v>
      </c>
      <c r="BZ98" s="258" t="s">
        <v>756</v>
      </c>
      <c r="CA98" s="258" t="s">
        <v>757</v>
      </c>
      <c r="CB98" s="261" t="e">
        <f t="shared" si="61"/>
        <v>#VALUE!</v>
      </c>
      <c r="CC98" s="409">
        <f t="shared" si="62"/>
        <v>58</v>
      </c>
      <c r="CD98" s="409">
        <f t="shared" si="63"/>
        <v>1</v>
      </c>
      <c r="CE98" s="409" t="e">
        <f t="shared" si="64"/>
        <v>#VALUE!</v>
      </c>
      <c r="CF98" s="409" t="e">
        <f t="shared" si="65"/>
        <v>#VALUE!</v>
      </c>
      <c r="CG98" s="409" t="e">
        <f t="shared" si="66"/>
        <v>#VALUE!</v>
      </c>
      <c r="CH98" s="409">
        <f t="shared" si="67"/>
        <v>0</v>
      </c>
      <c r="CI98" s="409">
        <f t="shared" si="68"/>
        <v>0</v>
      </c>
      <c r="CJ98" s="409">
        <f t="shared" si="69"/>
        <v>0</v>
      </c>
      <c r="CK98" s="372">
        <f t="shared" si="70"/>
        <v>0</v>
      </c>
      <c r="CM98" s="258" t="s">
        <v>756</v>
      </c>
      <c r="CN98" s="258" t="s">
        <v>757</v>
      </c>
      <c r="CO98" s="5" t="e">
        <f t="shared" si="71"/>
        <v>#VALUE!</v>
      </c>
      <c r="CP98" s="5">
        <f t="shared" si="72"/>
        <v>5.1056338028169015E-2</v>
      </c>
      <c r="CQ98" s="5">
        <f t="shared" si="73"/>
        <v>1.1904761904761904E-2</v>
      </c>
      <c r="CR98" s="5" t="e">
        <f t="shared" si="74"/>
        <v>#VALUE!</v>
      </c>
      <c r="CS98" s="5" t="e">
        <f t="shared" si="75"/>
        <v>#VALUE!</v>
      </c>
      <c r="CT98" s="5" t="e">
        <f t="shared" si="76"/>
        <v>#VALUE!</v>
      </c>
      <c r="CU98" s="5">
        <f t="shared" si="77"/>
        <v>0</v>
      </c>
      <c r="CV98" s="5">
        <f t="shared" si="78"/>
        <v>0</v>
      </c>
      <c r="CW98" s="5">
        <f t="shared" si="79"/>
        <v>0</v>
      </c>
      <c r="CX98" s="5">
        <f t="shared" si="80"/>
        <v>0</v>
      </c>
      <c r="CZ98" s="447" t="s">
        <v>756</v>
      </c>
      <c r="DA98" s="447" t="s">
        <v>757</v>
      </c>
      <c r="DB98" s="18" t="e">
        <f t="shared" si="81"/>
        <v>#VALUE!</v>
      </c>
      <c r="DC98" s="18">
        <f t="shared" si="82"/>
        <v>0</v>
      </c>
      <c r="DD98" s="18" t="e">
        <f t="shared" si="43"/>
        <v>#VALUE!</v>
      </c>
      <c r="DE98" s="18" t="e">
        <f t="shared" si="83"/>
        <v>#VALUE!</v>
      </c>
      <c r="DF98" s="18" t="e">
        <f t="shared" si="84"/>
        <v>#VALUE!</v>
      </c>
      <c r="DG98" s="18" t="e">
        <f t="shared" si="85"/>
        <v>#DIV/0!</v>
      </c>
      <c r="DH98" s="18" t="e">
        <f t="shared" si="86"/>
        <v>#DIV/0!</v>
      </c>
      <c r="DI98" s="18" t="e">
        <f t="shared" si="87"/>
        <v>#DIV/0!</v>
      </c>
      <c r="DJ98" s="18" t="e">
        <f t="shared" si="88"/>
        <v>#DIV/0!</v>
      </c>
    </row>
    <row r="99" spans="1:114">
      <c r="A99" s="371" t="s">
        <v>758</v>
      </c>
      <c r="B99" s="371" t="s">
        <v>759</v>
      </c>
      <c r="C99" s="362">
        <v>6</v>
      </c>
      <c r="D99" s="362">
        <v>3</v>
      </c>
      <c r="E99" s="362">
        <v>0</v>
      </c>
      <c r="F99" s="362" t="s">
        <v>611</v>
      </c>
      <c r="G99" s="362">
        <v>3</v>
      </c>
      <c r="H99" s="362" t="s">
        <v>611</v>
      </c>
      <c r="I99" s="372" t="e">
        <f t="shared" si="51"/>
        <v>#VALUE!</v>
      </c>
      <c r="J99" s="362">
        <v>0</v>
      </c>
      <c r="K99" s="362">
        <v>0</v>
      </c>
      <c r="L99" s="362" t="s">
        <v>611</v>
      </c>
      <c r="M99" s="372" t="e">
        <f t="shared" si="52"/>
        <v>#VALUE!</v>
      </c>
      <c r="N99" s="262"/>
      <c r="P99" s="258" t="s">
        <v>758</v>
      </c>
      <c r="Q99" s="258" t="s">
        <v>759</v>
      </c>
      <c r="R99" s="125" t="s">
        <v>611</v>
      </c>
      <c r="S99" s="125">
        <v>0</v>
      </c>
      <c r="T99" s="125">
        <v>0</v>
      </c>
      <c r="U99" s="125">
        <v>0</v>
      </c>
      <c r="V99" s="125">
        <v>0</v>
      </c>
      <c r="W99" s="125">
        <v>0</v>
      </c>
      <c r="X99" s="125">
        <v>0</v>
      </c>
      <c r="Y99" s="125" t="s">
        <v>611</v>
      </c>
      <c r="Z99" s="125"/>
      <c r="AB99" s="258" t="s">
        <v>758</v>
      </c>
      <c r="AC99" s="258" t="s">
        <v>759</v>
      </c>
      <c r="AD99" s="125">
        <v>6</v>
      </c>
      <c r="AE99" s="125">
        <v>3</v>
      </c>
      <c r="AF99" s="125">
        <v>0</v>
      </c>
      <c r="AG99" s="125" t="s">
        <v>611</v>
      </c>
      <c r="AH99" s="125">
        <v>3</v>
      </c>
      <c r="AI99" s="125" t="s">
        <v>611</v>
      </c>
      <c r="AJ99" s="125">
        <v>0</v>
      </c>
      <c r="AK99" s="125">
        <v>0</v>
      </c>
      <c r="AL99" s="125" t="s">
        <v>611</v>
      </c>
      <c r="AO99" s="258" t="s">
        <v>758</v>
      </c>
      <c r="AP99" s="258" t="s">
        <v>759</v>
      </c>
      <c r="AQ99" s="125">
        <v>6</v>
      </c>
      <c r="AR99" s="125">
        <v>3</v>
      </c>
      <c r="AS99" s="125">
        <v>0</v>
      </c>
      <c r="AT99" s="125" t="s">
        <v>611</v>
      </c>
      <c r="AU99" s="125">
        <v>3</v>
      </c>
      <c r="AV99" s="125" t="s">
        <v>611</v>
      </c>
      <c r="AW99" s="125">
        <v>0</v>
      </c>
      <c r="AX99" s="125">
        <v>0</v>
      </c>
      <c r="AY99" s="125" t="s">
        <v>611</v>
      </c>
      <c r="BB99" s="258" t="s">
        <v>758</v>
      </c>
      <c r="BC99" s="258" t="s">
        <v>759</v>
      </c>
      <c r="BD99" s="125">
        <v>0</v>
      </c>
      <c r="BE99" s="125">
        <v>0</v>
      </c>
      <c r="BF99" s="125">
        <v>0</v>
      </c>
      <c r="BG99" s="125">
        <v>0</v>
      </c>
      <c r="BH99" s="125">
        <v>0</v>
      </c>
      <c r="BI99" s="125">
        <v>0</v>
      </c>
      <c r="BJ99" s="125">
        <v>0</v>
      </c>
      <c r="BK99" s="261"/>
      <c r="BL99" s="261"/>
      <c r="BM99" s="258" t="s">
        <v>758</v>
      </c>
      <c r="BN99" s="258" t="s">
        <v>759</v>
      </c>
      <c r="BO99" s="261" t="e">
        <f t="shared" si="53"/>
        <v>#VALUE!</v>
      </c>
      <c r="BP99" s="261">
        <f t="shared" si="54"/>
        <v>3</v>
      </c>
      <c r="BQ99" s="261">
        <f t="shared" si="55"/>
        <v>0</v>
      </c>
      <c r="BR99" s="261" t="e">
        <f t="shared" si="56"/>
        <v>#VALUE!</v>
      </c>
      <c r="BS99" s="261">
        <f t="shared" si="57"/>
        <v>3</v>
      </c>
      <c r="BT99" s="261" t="e">
        <f t="shared" si="58"/>
        <v>#VALUE!</v>
      </c>
      <c r="BU99" s="261">
        <f t="shared" si="59"/>
        <v>0</v>
      </c>
      <c r="BV99" s="261">
        <f t="shared" si="60"/>
        <v>0</v>
      </c>
      <c r="BW99" s="125">
        <f t="shared" si="50"/>
        <v>0</v>
      </c>
      <c r="BZ99" s="258" t="s">
        <v>758</v>
      </c>
      <c r="CA99" s="258" t="s">
        <v>759</v>
      </c>
      <c r="CB99" s="261" t="e">
        <f t="shared" si="61"/>
        <v>#VALUE!</v>
      </c>
      <c r="CC99" s="409">
        <f t="shared" si="62"/>
        <v>3</v>
      </c>
      <c r="CD99" s="409">
        <f t="shared" si="63"/>
        <v>0</v>
      </c>
      <c r="CE99" s="409" t="e">
        <f t="shared" si="64"/>
        <v>#VALUE!</v>
      </c>
      <c r="CF99" s="409">
        <f t="shared" si="65"/>
        <v>3</v>
      </c>
      <c r="CG99" s="409" t="e">
        <f t="shared" si="66"/>
        <v>#VALUE!</v>
      </c>
      <c r="CH99" s="409">
        <f t="shared" si="67"/>
        <v>0</v>
      </c>
      <c r="CI99" s="409">
        <f t="shared" si="68"/>
        <v>0</v>
      </c>
      <c r="CJ99" s="409">
        <f t="shared" si="69"/>
        <v>0</v>
      </c>
      <c r="CK99" s="372">
        <f t="shared" si="70"/>
        <v>0</v>
      </c>
      <c r="CM99" s="258" t="s">
        <v>758</v>
      </c>
      <c r="CN99" s="258" t="s">
        <v>759</v>
      </c>
      <c r="CO99" s="5" t="e">
        <f t="shared" si="71"/>
        <v>#VALUE!</v>
      </c>
      <c r="CP99" s="5">
        <f t="shared" si="72"/>
        <v>2.6408450704225352E-3</v>
      </c>
      <c r="CQ99" s="5">
        <f t="shared" si="73"/>
        <v>0</v>
      </c>
      <c r="CR99" s="5" t="e">
        <f t="shared" si="74"/>
        <v>#VALUE!</v>
      </c>
      <c r="CS99" s="5">
        <f t="shared" si="75"/>
        <v>8.703220191470844E-4</v>
      </c>
      <c r="CT99" s="5" t="e">
        <f t="shared" si="76"/>
        <v>#VALUE!</v>
      </c>
      <c r="CU99" s="5">
        <f t="shared" si="77"/>
        <v>0</v>
      </c>
      <c r="CV99" s="5">
        <f t="shared" si="78"/>
        <v>0</v>
      </c>
      <c r="CW99" s="5">
        <f t="shared" si="79"/>
        <v>0</v>
      </c>
      <c r="CX99" s="5">
        <f t="shared" si="80"/>
        <v>0</v>
      </c>
      <c r="CZ99" s="447" t="s">
        <v>758</v>
      </c>
      <c r="DA99" s="447" t="s">
        <v>759</v>
      </c>
      <c r="DB99" s="18" t="e">
        <f t="shared" si="81"/>
        <v>#VALUE!</v>
      </c>
      <c r="DC99" s="18" t="e">
        <f t="shared" si="82"/>
        <v>#DIV/0!</v>
      </c>
      <c r="DD99" s="18" t="e">
        <f t="shared" si="43"/>
        <v>#VALUE!</v>
      </c>
      <c r="DE99" s="18">
        <f t="shared" si="83"/>
        <v>0</v>
      </c>
      <c r="DF99" s="18" t="e">
        <f t="shared" si="84"/>
        <v>#VALUE!</v>
      </c>
      <c r="DG99" s="18" t="e">
        <f t="shared" si="85"/>
        <v>#DIV/0!</v>
      </c>
      <c r="DH99" s="18" t="e">
        <f t="shared" si="86"/>
        <v>#DIV/0!</v>
      </c>
      <c r="DI99" s="18" t="e">
        <f t="shared" si="87"/>
        <v>#DIV/0!</v>
      </c>
      <c r="DJ99" s="18" t="e">
        <f t="shared" si="88"/>
        <v>#DIV/0!</v>
      </c>
    </row>
    <row r="100" spans="1:114" ht="35.65">
      <c r="A100" s="371" t="s">
        <v>760</v>
      </c>
      <c r="B100" s="371" t="s">
        <v>761</v>
      </c>
      <c r="C100" s="362">
        <v>14</v>
      </c>
      <c r="D100" s="362">
        <v>5</v>
      </c>
      <c r="E100" s="362">
        <v>0</v>
      </c>
      <c r="F100" s="362" t="s">
        <v>611</v>
      </c>
      <c r="G100" s="362">
        <v>8</v>
      </c>
      <c r="H100" s="362" t="s">
        <v>611</v>
      </c>
      <c r="I100" s="372" t="e">
        <f t="shared" si="51"/>
        <v>#VALUE!</v>
      </c>
      <c r="J100" s="362">
        <v>0</v>
      </c>
      <c r="K100" s="362">
        <v>0</v>
      </c>
      <c r="L100" s="362">
        <v>1</v>
      </c>
      <c r="M100" s="372" t="e">
        <f t="shared" si="52"/>
        <v>#VALUE!</v>
      </c>
      <c r="N100" s="262"/>
      <c r="P100" s="258" t="s">
        <v>760</v>
      </c>
      <c r="Q100" s="258" t="s">
        <v>761</v>
      </c>
      <c r="R100" s="125" t="s">
        <v>611</v>
      </c>
      <c r="S100" s="125">
        <v>0</v>
      </c>
      <c r="T100" s="125">
        <v>0</v>
      </c>
      <c r="U100" s="125" t="s">
        <v>611</v>
      </c>
      <c r="V100" s="125" t="s">
        <v>611</v>
      </c>
      <c r="W100" s="125">
        <v>0</v>
      </c>
      <c r="X100" s="125">
        <v>0</v>
      </c>
      <c r="Y100" s="125" t="s">
        <v>611</v>
      </c>
      <c r="Z100" s="125"/>
      <c r="AB100" s="258" t="s">
        <v>760</v>
      </c>
      <c r="AC100" s="258" t="s">
        <v>761</v>
      </c>
      <c r="AD100" s="125">
        <v>14</v>
      </c>
      <c r="AE100" s="125">
        <v>5</v>
      </c>
      <c r="AF100" s="125">
        <v>0</v>
      </c>
      <c r="AG100" s="125" t="s">
        <v>611</v>
      </c>
      <c r="AH100" s="125">
        <v>8</v>
      </c>
      <c r="AI100" s="125" t="s">
        <v>611</v>
      </c>
      <c r="AJ100" s="125">
        <v>0</v>
      </c>
      <c r="AK100" s="125">
        <v>0</v>
      </c>
      <c r="AL100" s="125">
        <v>1</v>
      </c>
      <c r="AO100" s="258" t="s">
        <v>760</v>
      </c>
      <c r="AP100" s="258" t="s">
        <v>761</v>
      </c>
      <c r="AQ100" s="125">
        <v>14</v>
      </c>
      <c r="AR100" s="125">
        <v>5</v>
      </c>
      <c r="AS100" s="125">
        <v>0</v>
      </c>
      <c r="AT100" s="125" t="s">
        <v>611</v>
      </c>
      <c r="AU100" s="125">
        <v>8</v>
      </c>
      <c r="AV100" s="125" t="s">
        <v>611</v>
      </c>
      <c r="AW100" s="125">
        <v>0</v>
      </c>
      <c r="AX100" s="125">
        <v>0</v>
      </c>
      <c r="AY100" s="125">
        <v>1</v>
      </c>
      <c r="BB100" s="258" t="s">
        <v>760</v>
      </c>
      <c r="BC100" s="258" t="s">
        <v>761</v>
      </c>
      <c r="BD100" s="125" t="s">
        <v>669</v>
      </c>
      <c r="BE100" s="125">
        <v>0</v>
      </c>
      <c r="BF100" s="125" t="s">
        <v>669</v>
      </c>
      <c r="BG100" s="125">
        <v>0</v>
      </c>
      <c r="BH100" s="125">
        <v>0</v>
      </c>
      <c r="BI100" s="125">
        <v>0</v>
      </c>
      <c r="BJ100" s="125">
        <v>0</v>
      </c>
      <c r="BK100" s="261"/>
      <c r="BL100" s="261"/>
      <c r="BM100" s="258" t="s">
        <v>760</v>
      </c>
      <c r="BN100" s="258" t="s">
        <v>761</v>
      </c>
      <c r="BO100" s="261" t="e">
        <f t="shared" si="53"/>
        <v>#VALUE!</v>
      </c>
      <c r="BP100" s="261">
        <f t="shared" si="54"/>
        <v>5</v>
      </c>
      <c r="BQ100" s="261">
        <f t="shared" si="55"/>
        <v>0</v>
      </c>
      <c r="BR100" s="261" t="e">
        <f t="shared" si="56"/>
        <v>#VALUE!</v>
      </c>
      <c r="BS100" s="261" t="e">
        <f t="shared" si="57"/>
        <v>#VALUE!</v>
      </c>
      <c r="BT100" s="261" t="e">
        <f t="shared" si="58"/>
        <v>#VALUE!</v>
      </c>
      <c r="BU100" s="261">
        <f t="shared" si="59"/>
        <v>0</v>
      </c>
      <c r="BV100" s="261">
        <f t="shared" si="60"/>
        <v>0</v>
      </c>
      <c r="BW100" s="125">
        <f t="shared" si="50"/>
        <v>0</v>
      </c>
      <c r="BZ100" s="258" t="s">
        <v>760</v>
      </c>
      <c r="CA100" s="258" t="s">
        <v>761</v>
      </c>
      <c r="CB100" s="261" t="e">
        <f t="shared" si="61"/>
        <v>#VALUE!</v>
      </c>
      <c r="CC100" s="409">
        <f t="shared" si="62"/>
        <v>5</v>
      </c>
      <c r="CD100" s="409">
        <f t="shared" si="63"/>
        <v>0</v>
      </c>
      <c r="CE100" s="409" t="e">
        <f t="shared" si="64"/>
        <v>#VALUE!</v>
      </c>
      <c r="CF100" s="409" t="e">
        <f t="shared" si="65"/>
        <v>#VALUE!</v>
      </c>
      <c r="CG100" s="409" t="e">
        <f t="shared" si="66"/>
        <v>#VALUE!</v>
      </c>
      <c r="CH100" s="409">
        <f t="shared" si="67"/>
        <v>0</v>
      </c>
      <c r="CI100" s="409">
        <f t="shared" si="68"/>
        <v>0</v>
      </c>
      <c r="CJ100" s="409">
        <f t="shared" si="69"/>
        <v>0</v>
      </c>
      <c r="CK100" s="372">
        <f t="shared" si="70"/>
        <v>0</v>
      </c>
      <c r="CM100" s="258" t="s">
        <v>760</v>
      </c>
      <c r="CN100" s="258" t="s">
        <v>761</v>
      </c>
      <c r="CO100" s="5" t="e">
        <f t="shared" si="71"/>
        <v>#VALUE!</v>
      </c>
      <c r="CP100" s="5">
        <f t="shared" si="72"/>
        <v>4.4014084507042256E-3</v>
      </c>
      <c r="CQ100" s="5">
        <f t="shared" si="73"/>
        <v>0</v>
      </c>
      <c r="CR100" s="5" t="e">
        <f t="shared" si="74"/>
        <v>#VALUE!</v>
      </c>
      <c r="CS100" s="5" t="e">
        <f t="shared" si="75"/>
        <v>#VALUE!</v>
      </c>
      <c r="CT100" s="5" t="e">
        <f t="shared" si="76"/>
        <v>#VALUE!</v>
      </c>
      <c r="CU100" s="5">
        <f t="shared" si="77"/>
        <v>0</v>
      </c>
      <c r="CV100" s="5">
        <f t="shared" si="78"/>
        <v>0</v>
      </c>
      <c r="CW100" s="5">
        <f t="shared" si="79"/>
        <v>0</v>
      </c>
      <c r="CX100" s="5">
        <f t="shared" si="80"/>
        <v>0</v>
      </c>
      <c r="CZ100" s="447" t="s">
        <v>760</v>
      </c>
      <c r="DA100" s="447" t="s">
        <v>761</v>
      </c>
      <c r="DB100" s="18" t="e">
        <f t="shared" si="81"/>
        <v>#VALUE!</v>
      </c>
      <c r="DC100" s="18" t="e">
        <f t="shared" si="82"/>
        <v>#DIV/0!</v>
      </c>
      <c r="DD100" s="18" t="e">
        <f t="shared" si="43"/>
        <v>#VALUE!</v>
      </c>
      <c r="DE100" s="18" t="e">
        <f t="shared" si="83"/>
        <v>#VALUE!</v>
      </c>
      <c r="DF100" s="18" t="e">
        <f t="shared" si="84"/>
        <v>#VALUE!</v>
      </c>
      <c r="DG100" s="18" t="e">
        <f t="shared" si="85"/>
        <v>#DIV/0!</v>
      </c>
      <c r="DH100" s="18" t="e">
        <f t="shared" si="86"/>
        <v>#DIV/0!</v>
      </c>
      <c r="DI100" s="18" t="e">
        <f t="shared" si="87"/>
        <v>#DIV/0!</v>
      </c>
      <c r="DJ100" s="18" t="e">
        <f t="shared" si="88"/>
        <v>#DIV/0!</v>
      </c>
    </row>
    <row r="101" spans="1:114" ht="35.65">
      <c r="A101" s="371" t="s">
        <v>762</v>
      </c>
      <c r="B101" s="371" t="s">
        <v>763</v>
      </c>
      <c r="C101" s="362">
        <v>23</v>
      </c>
      <c r="D101" s="362">
        <v>11</v>
      </c>
      <c r="E101" s="362">
        <v>0</v>
      </c>
      <c r="F101" s="362" t="s">
        <v>631</v>
      </c>
      <c r="G101" s="362">
        <v>8</v>
      </c>
      <c r="H101" s="362" t="s">
        <v>611</v>
      </c>
      <c r="I101" s="372" t="e">
        <f t="shared" si="51"/>
        <v>#VALUE!</v>
      </c>
      <c r="J101" s="362">
        <v>0</v>
      </c>
      <c r="K101" s="362">
        <v>0</v>
      </c>
      <c r="L101" s="362">
        <v>3</v>
      </c>
      <c r="M101" s="372" t="e">
        <f t="shared" si="52"/>
        <v>#VALUE!</v>
      </c>
      <c r="N101" s="262"/>
      <c r="P101" s="258" t="s">
        <v>762</v>
      </c>
      <c r="Q101" s="258" t="s">
        <v>763</v>
      </c>
      <c r="R101" s="125" t="s">
        <v>631</v>
      </c>
      <c r="S101" s="125">
        <v>0</v>
      </c>
      <c r="T101" s="125">
        <v>0</v>
      </c>
      <c r="U101" s="125">
        <v>0</v>
      </c>
      <c r="V101" s="125" t="s">
        <v>611</v>
      </c>
      <c r="W101" s="125">
        <v>0</v>
      </c>
      <c r="X101" s="125">
        <v>0</v>
      </c>
      <c r="Y101" s="125" t="s">
        <v>631</v>
      </c>
      <c r="Z101" s="125"/>
      <c r="AB101" s="258" t="s">
        <v>762</v>
      </c>
      <c r="AC101" s="258" t="s">
        <v>763</v>
      </c>
      <c r="AD101" s="125">
        <v>22</v>
      </c>
      <c r="AE101" s="125">
        <v>11</v>
      </c>
      <c r="AF101" s="125">
        <v>0</v>
      </c>
      <c r="AG101" s="125" t="s">
        <v>631</v>
      </c>
      <c r="AH101" s="125">
        <v>8</v>
      </c>
      <c r="AI101" s="125" t="s">
        <v>611</v>
      </c>
      <c r="AJ101" s="125">
        <v>0</v>
      </c>
      <c r="AK101" s="125">
        <v>0</v>
      </c>
      <c r="AL101" s="125">
        <v>2</v>
      </c>
      <c r="AO101" s="258" t="s">
        <v>762</v>
      </c>
      <c r="AP101" s="258" t="s">
        <v>763</v>
      </c>
      <c r="AQ101" s="125">
        <v>22</v>
      </c>
      <c r="AR101" s="125">
        <v>11</v>
      </c>
      <c r="AS101" s="125">
        <v>0</v>
      </c>
      <c r="AT101" s="125" t="s">
        <v>631</v>
      </c>
      <c r="AU101" s="125">
        <v>8</v>
      </c>
      <c r="AV101" s="125" t="s">
        <v>611</v>
      </c>
      <c r="AW101" s="125">
        <v>0</v>
      </c>
      <c r="AX101" s="125">
        <v>0</v>
      </c>
      <c r="AY101" s="125">
        <v>2</v>
      </c>
      <c r="BB101" s="258" t="s">
        <v>762</v>
      </c>
      <c r="BC101" s="258" t="s">
        <v>763</v>
      </c>
      <c r="BD101" s="125" t="s">
        <v>611</v>
      </c>
      <c r="BE101" s="125">
        <v>0</v>
      </c>
      <c r="BF101" s="125" t="s">
        <v>611</v>
      </c>
      <c r="BG101" s="125">
        <v>0</v>
      </c>
      <c r="BH101" s="125">
        <v>0</v>
      </c>
      <c r="BI101" s="125">
        <v>0</v>
      </c>
      <c r="BJ101" s="125">
        <v>0</v>
      </c>
      <c r="BK101" s="261"/>
      <c r="BL101" s="261"/>
      <c r="BM101" s="258" t="s">
        <v>762</v>
      </c>
      <c r="BN101" s="258" t="s">
        <v>763</v>
      </c>
      <c r="BO101" s="261" t="e">
        <f t="shared" si="53"/>
        <v>#VALUE!</v>
      </c>
      <c r="BP101" s="261">
        <f t="shared" si="54"/>
        <v>11</v>
      </c>
      <c r="BQ101" s="261">
        <f t="shared" si="55"/>
        <v>0</v>
      </c>
      <c r="BR101" s="261" t="e">
        <f t="shared" si="56"/>
        <v>#VALUE!</v>
      </c>
      <c r="BS101" s="261">
        <f t="shared" si="57"/>
        <v>8</v>
      </c>
      <c r="BT101" s="261" t="e">
        <f t="shared" si="58"/>
        <v>#VALUE!</v>
      </c>
      <c r="BU101" s="261">
        <f t="shared" si="59"/>
        <v>0</v>
      </c>
      <c r="BV101" s="261">
        <f t="shared" si="60"/>
        <v>0</v>
      </c>
      <c r="BW101" s="125">
        <f t="shared" si="50"/>
        <v>0</v>
      </c>
      <c r="BZ101" s="258" t="s">
        <v>762</v>
      </c>
      <c r="CA101" s="258" t="s">
        <v>763</v>
      </c>
      <c r="CB101" s="261" t="e">
        <f t="shared" si="61"/>
        <v>#VALUE!</v>
      </c>
      <c r="CC101" s="409">
        <f t="shared" si="62"/>
        <v>11</v>
      </c>
      <c r="CD101" s="409">
        <f t="shared" si="63"/>
        <v>0</v>
      </c>
      <c r="CE101" s="409" t="e">
        <f t="shared" si="64"/>
        <v>#VALUE!</v>
      </c>
      <c r="CF101" s="409">
        <f t="shared" si="65"/>
        <v>8</v>
      </c>
      <c r="CG101" s="409" t="e">
        <f t="shared" si="66"/>
        <v>#VALUE!</v>
      </c>
      <c r="CH101" s="409">
        <f t="shared" si="67"/>
        <v>0</v>
      </c>
      <c r="CI101" s="409">
        <f t="shared" si="68"/>
        <v>0</v>
      </c>
      <c r="CJ101" s="409">
        <f t="shared" si="69"/>
        <v>0</v>
      </c>
      <c r="CK101" s="372">
        <f t="shared" si="70"/>
        <v>0</v>
      </c>
      <c r="CM101" s="258" t="s">
        <v>762</v>
      </c>
      <c r="CN101" s="258" t="s">
        <v>763</v>
      </c>
      <c r="CO101" s="5" t="e">
        <f t="shared" si="71"/>
        <v>#VALUE!</v>
      </c>
      <c r="CP101" s="5">
        <f t="shared" si="72"/>
        <v>9.683098591549295E-3</v>
      </c>
      <c r="CQ101" s="5">
        <f t="shared" si="73"/>
        <v>0</v>
      </c>
      <c r="CR101" s="5" t="e">
        <f t="shared" si="74"/>
        <v>#VALUE!</v>
      </c>
      <c r="CS101" s="5">
        <f t="shared" si="75"/>
        <v>2.3208587177255585E-3</v>
      </c>
      <c r="CT101" s="5" t="e">
        <f t="shared" si="76"/>
        <v>#VALUE!</v>
      </c>
      <c r="CU101" s="5">
        <f t="shared" si="77"/>
        <v>0</v>
      </c>
      <c r="CV101" s="5">
        <f t="shared" si="78"/>
        <v>0</v>
      </c>
      <c r="CW101" s="5">
        <f t="shared" si="79"/>
        <v>0</v>
      </c>
      <c r="CX101" s="5">
        <f t="shared" si="80"/>
        <v>0</v>
      </c>
      <c r="CZ101" s="447" t="s">
        <v>762</v>
      </c>
      <c r="DA101" s="447" t="s">
        <v>763</v>
      </c>
      <c r="DB101" s="18" t="e">
        <f t="shared" si="81"/>
        <v>#VALUE!</v>
      </c>
      <c r="DC101" s="18" t="e">
        <f t="shared" si="82"/>
        <v>#DIV/0!</v>
      </c>
      <c r="DD101" s="18" t="e">
        <f t="shared" si="43"/>
        <v>#VALUE!</v>
      </c>
      <c r="DE101" s="18">
        <f t="shared" si="83"/>
        <v>0</v>
      </c>
      <c r="DF101" s="18" t="e">
        <f t="shared" si="84"/>
        <v>#VALUE!</v>
      </c>
      <c r="DG101" s="18" t="e">
        <f t="shared" si="85"/>
        <v>#DIV/0!</v>
      </c>
      <c r="DH101" s="18" t="e">
        <f t="shared" si="86"/>
        <v>#DIV/0!</v>
      </c>
      <c r="DI101" s="18" t="e">
        <f t="shared" si="87"/>
        <v>#DIV/0!</v>
      </c>
      <c r="DJ101" s="18" t="e">
        <f t="shared" si="88"/>
        <v>#DIV/0!</v>
      </c>
    </row>
    <row r="102" spans="1:114">
      <c r="A102" s="371" t="s">
        <v>764</v>
      </c>
      <c r="B102" s="371" t="s">
        <v>765</v>
      </c>
      <c r="C102" s="362">
        <v>12</v>
      </c>
      <c r="D102" s="362">
        <v>6</v>
      </c>
      <c r="E102" s="362">
        <v>0</v>
      </c>
      <c r="F102" s="362" t="s">
        <v>631</v>
      </c>
      <c r="G102" s="362">
        <v>5</v>
      </c>
      <c r="H102" s="362" t="s">
        <v>611</v>
      </c>
      <c r="I102" s="372" t="e">
        <f t="shared" si="51"/>
        <v>#VALUE!</v>
      </c>
      <c r="J102" s="362">
        <v>0</v>
      </c>
      <c r="K102" s="362">
        <v>0</v>
      </c>
      <c r="L102" s="362" t="s">
        <v>611</v>
      </c>
      <c r="M102" s="372" t="e">
        <f t="shared" si="52"/>
        <v>#VALUE!</v>
      </c>
      <c r="N102" s="262"/>
      <c r="P102" s="258" t="s">
        <v>764</v>
      </c>
      <c r="Q102" s="258" t="s">
        <v>765</v>
      </c>
      <c r="R102" s="125">
        <v>0</v>
      </c>
      <c r="S102" s="125">
        <v>0</v>
      </c>
      <c r="T102" s="125">
        <v>0</v>
      </c>
      <c r="U102" s="125">
        <v>0</v>
      </c>
      <c r="V102" s="125">
        <v>0</v>
      </c>
      <c r="W102" s="125">
        <v>0</v>
      </c>
      <c r="X102" s="125">
        <v>0</v>
      </c>
      <c r="Y102" s="125">
        <v>0</v>
      </c>
      <c r="Z102" s="125"/>
      <c r="AB102" s="258" t="s">
        <v>764</v>
      </c>
      <c r="AC102" s="258" t="s">
        <v>765</v>
      </c>
      <c r="AD102" s="125">
        <v>12</v>
      </c>
      <c r="AE102" s="125">
        <v>6</v>
      </c>
      <c r="AF102" s="125">
        <v>0</v>
      </c>
      <c r="AG102" s="125" t="s">
        <v>631</v>
      </c>
      <c r="AH102" s="125">
        <v>5</v>
      </c>
      <c r="AI102" s="125" t="s">
        <v>611</v>
      </c>
      <c r="AJ102" s="125">
        <v>0</v>
      </c>
      <c r="AK102" s="125">
        <v>0</v>
      </c>
      <c r="AL102" s="125" t="s">
        <v>611</v>
      </c>
      <c r="AO102" s="258" t="s">
        <v>764</v>
      </c>
      <c r="AP102" s="258" t="s">
        <v>765</v>
      </c>
      <c r="AQ102" s="125">
        <v>12</v>
      </c>
      <c r="AR102" s="125">
        <v>6</v>
      </c>
      <c r="AS102" s="125">
        <v>0</v>
      </c>
      <c r="AT102" s="125" t="s">
        <v>631</v>
      </c>
      <c r="AU102" s="125">
        <v>5</v>
      </c>
      <c r="AV102" s="125" t="s">
        <v>611</v>
      </c>
      <c r="AW102" s="125">
        <v>0</v>
      </c>
      <c r="AX102" s="125">
        <v>0</v>
      </c>
      <c r="AY102" s="125" t="s">
        <v>611</v>
      </c>
      <c r="BB102" s="258" t="s">
        <v>764</v>
      </c>
      <c r="BC102" s="258" t="s">
        <v>765</v>
      </c>
      <c r="BD102" s="125">
        <v>0</v>
      </c>
      <c r="BE102" s="125">
        <v>0</v>
      </c>
      <c r="BF102" s="125">
        <v>0</v>
      </c>
      <c r="BG102" s="125">
        <v>0</v>
      </c>
      <c r="BH102" s="125">
        <v>0</v>
      </c>
      <c r="BI102" s="125">
        <v>0</v>
      </c>
      <c r="BJ102" s="125">
        <v>0</v>
      </c>
      <c r="BK102" s="261"/>
      <c r="BL102" s="261"/>
      <c r="BM102" s="258" t="s">
        <v>764</v>
      </c>
      <c r="BN102" s="258" t="s">
        <v>765</v>
      </c>
      <c r="BO102" s="261" t="e">
        <f t="shared" si="53"/>
        <v>#VALUE!</v>
      </c>
      <c r="BP102" s="261">
        <f t="shared" si="54"/>
        <v>6</v>
      </c>
      <c r="BQ102" s="261">
        <f t="shared" si="55"/>
        <v>0</v>
      </c>
      <c r="BR102" s="261" t="e">
        <f t="shared" si="56"/>
        <v>#VALUE!</v>
      </c>
      <c r="BS102" s="261">
        <f t="shared" si="57"/>
        <v>5</v>
      </c>
      <c r="BT102" s="261" t="e">
        <f t="shared" si="58"/>
        <v>#VALUE!</v>
      </c>
      <c r="BU102" s="261">
        <f t="shared" si="59"/>
        <v>0</v>
      </c>
      <c r="BV102" s="261">
        <f t="shared" si="60"/>
        <v>0</v>
      </c>
      <c r="BW102" s="125">
        <f t="shared" si="50"/>
        <v>0</v>
      </c>
      <c r="BZ102" s="258" t="s">
        <v>764</v>
      </c>
      <c r="CA102" s="258" t="s">
        <v>765</v>
      </c>
      <c r="CB102" s="261" t="e">
        <f t="shared" si="61"/>
        <v>#VALUE!</v>
      </c>
      <c r="CC102" s="409">
        <f t="shared" si="62"/>
        <v>6</v>
      </c>
      <c r="CD102" s="409">
        <f t="shared" si="63"/>
        <v>0</v>
      </c>
      <c r="CE102" s="409" t="e">
        <f t="shared" si="64"/>
        <v>#VALUE!</v>
      </c>
      <c r="CF102" s="409">
        <f t="shared" si="65"/>
        <v>5</v>
      </c>
      <c r="CG102" s="409" t="e">
        <f t="shared" si="66"/>
        <v>#VALUE!</v>
      </c>
      <c r="CH102" s="409">
        <f t="shared" si="67"/>
        <v>0</v>
      </c>
      <c r="CI102" s="409">
        <f t="shared" si="68"/>
        <v>0</v>
      </c>
      <c r="CJ102" s="409">
        <f t="shared" si="69"/>
        <v>0</v>
      </c>
      <c r="CK102" s="372">
        <f t="shared" si="70"/>
        <v>0</v>
      </c>
      <c r="CM102" s="258" t="s">
        <v>764</v>
      </c>
      <c r="CN102" s="258" t="s">
        <v>765</v>
      </c>
      <c r="CO102" s="5" t="e">
        <f t="shared" si="71"/>
        <v>#VALUE!</v>
      </c>
      <c r="CP102" s="5">
        <f t="shared" si="72"/>
        <v>5.2816901408450703E-3</v>
      </c>
      <c r="CQ102" s="5">
        <f t="shared" si="73"/>
        <v>0</v>
      </c>
      <c r="CR102" s="5" t="e">
        <f t="shared" si="74"/>
        <v>#VALUE!</v>
      </c>
      <c r="CS102" s="5">
        <f t="shared" si="75"/>
        <v>1.450536698578474E-3</v>
      </c>
      <c r="CT102" s="5" t="e">
        <f t="shared" si="76"/>
        <v>#VALUE!</v>
      </c>
      <c r="CU102" s="5">
        <f t="shared" si="77"/>
        <v>0</v>
      </c>
      <c r="CV102" s="5">
        <f t="shared" si="78"/>
        <v>0</v>
      </c>
      <c r="CW102" s="5">
        <f t="shared" si="79"/>
        <v>0</v>
      </c>
      <c r="CX102" s="5">
        <f t="shared" si="80"/>
        <v>0</v>
      </c>
      <c r="CZ102" s="447" t="s">
        <v>764</v>
      </c>
      <c r="DA102" s="447" t="s">
        <v>765</v>
      </c>
      <c r="DB102" s="18" t="e">
        <f t="shared" si="81"/>
        <v>#VALUE!</v>
      </c>
      <c r="DC102" s="18" t="e">
        <f t="shared" si="82"/>
        <v>#DIV/0!</v>
      </c>
      <c r="DD102" s="18" t="e">
        <f t="shared" si="43"/>
        <v>#VALUE!</v>
      </c>
      <c r="DE102" s="18">
        <f t="shared" si="83"/>
        <v>0</v>
      </c>
      <c r="DF102" s="18" t="e">
        <f t="shared" si="84"/>
        <v>#VALUE!</v>
      </c>
      <c r="DG102" s="18" t="e">
        <f t="shared" si="85"/>
        <v>#DIV/0!</v>
      </c>
      <c r="DH102" s="18" t="e">
        <f t="shared" si="86"/>
        <v>#DIV/0!</v>
      </c>
      <c r="DI102" s="18" t="e">
        <f t="shared" si="87"/>
        <v>#DIV/0!</v>
      </c>
      <c r="DJ102" s="18" t="e">
        <f t="shared" si="88"/>
        <v>#DIV/0!</v>
      </c>
    </row>
    <row r="103" spans="1:114" ht="35.65">
      <c r="A103" s="371" t="s">
        <v>766</v>
      </c>
      <c r="B103" s="371" t="s">
        <v>767</v>
      </c>
      <c r="C103" s="362">
        <v>15</v>
      </c>
      <c r="D103" s="362">
        <v>8</v>
      </c>
      <c r="E103" s="362">
        <v>0</v>
      </c>
      <c r="F103" s="362" t="s">
        <v>611</v>
      </c>
      <c r="G103" s="362">
        <v>5</v>
      </c>
      <c r="H103" s="362" t="s">
        <v>611</v>
      </c>
      <c r="I103" s="372" t="e">
        <f t="shared" si="51"/>
        <v>#VALUE!</v>
      </c>
      <c r="J103" s="362" t="s">
        <v>611</v>
      </c>
      <c r="K103" s="362">
        <v>0</v>
      </c>
      <c r="L103" s="362">
        <v>2</v>
      </c>
      <c r="M103" s="372">
        <f t="shared" si="52"/>
        <v>2</v>
      </c>
      <c r="N103" s="262"/>
      <c r="P103" s="258" t="s">
        <v>766</v>
      </c>
      <c r="Q103" s="258" t="s">
        <v>767</v>
      </c>
      <c r="R103" s="125" t="s">
        <v>611</v>
      </c>
      <c r="S103" s="125">
        <v>0</v>
      </c>
      <c r="T103" s="125">
        <v>0</v>
      </c>
      <c r="U103" s="125">
        <v>0</v>
      </c>
      <c r="V103" s="125" t="s">
        <v>611</v>
      </c>
      <c r="W103" s="125">
        <v>0</v>
      </c>
      <c r="X103" s="125">
        <v>0</v>
      </c>
      <c r="Y103" s="125">
        <v>0</v>
      </c>
      <c r="Z103" s="125"/>
      <c r="AB103" s="258" t="s">
        <v>766</v>
      </c>
      <c r="AC103" s="258" t="s">
        <v>767</v>
      </c>
      <c r="AD103" s="125">
        <v>15</v>
      </c>
      <c r="AE103" s="125">
        <v>8</v>
      </c>
      <c r="AF103" s="125">
        <v>0</v>
      </c>
      <c r="AG103" s="125" t="s">
        <v>611</v>
      </c>
      <c r="AH103" s="125">
        <v>5</v>
      </c>
      <c r="AI103" s="125" t="s">
        <v>611</v>
      </c>
      <c r="AJ103" s="125" t="s">
        <v>611</v>
      </c>
      <c r="AK103" s="125">
        <v>0</v>
      </c>
      <c r="AL103" s="125">
        <v>2</v>
      </c>
      <c r="AO103" s="258" t="s">
        <v>766</v>
      </c>
      <c r="AP103" s="258" t="s">
        <v>767</v>
      </c>
      <c r="AQ103" s="125">
        <v>13</v>
      </c>
      <c r="AR103" s="125">
        <v>8</v>
      </c>
      <c r="AS103" s="125">
        <v>0</v>
      </c>
      <c r="AT103" s="125" t="s">
        <v>611</v>
      </c>
      <c r="AU103" s="125">
        <v>5</v>
      </c>
      <c r="AV103" s="125" t="s">
        <v>611</v>
      </c>
      <c r="AW103" s="125" t="s">
        <v>611</v>
      </c>
      <c r="AX103" s="125">
        <v>0</v>
      </c>
      <c r="AY103" s="125" t="s">
        <v>611</v>
      </c>
      <c r="BB103" s="258" t="s">
        <v>766</v>
      </c>
      <c r="BC103" s="258" t="s">
        <v>767</v>
      </c>
      <c r="BD103" s="125">
        <v>2</v>
      </c>
      <c r="BE103" s="125">
        <v>0</v>
      </c>
      <c r="BF103" s="125">
        <v>0</v>
      </c>
      <c r="BG103" s="125">
        <v>0</v>
      </c>
      <c r="BH103" s="125">
        <v>0</v>
      </c>
      <c r="BI103" s="125">
        <v>2</v>
      </c>
      <c r="BJ103" s="125" t="s">
        <v>611</v>
      </c>
      <c r="BK103" s="261"/>
      <c r="BL103" s="261"/>
      <c r="BM103" s="258" t="s">
        <v>766</v>
      </c>
      <c r="BN103" s="258" t="s">
        <v>767</v>
      </c>
      <c r="BO103" s="261" t="e">
        <f>SUM(BP103:BW103)</f>
        <v>#VALUE!</v>
      </c>
      <c r="BP103" s="261">
        <f t="shared" si="54"/>
        <v>8</v>
      </c>
      <c r="BQ103" s="261" t="e">
        <f t="shared" si="55"/>
        <v>#VALUE!</v>
      </c>
      <c r="BR103" s="261" t="e">
        <f t="shared" si="56"/>
        <v>#VALUE!</v>
      </c>
      <c r="BS103" s="261">
        <f t="shared" si="57"/>
        <v>5</v>
      </c>
      <c r="BT103" s="261" t="e">
        <f t="shared" si="58"/>
        <v>#VALUE!</v>
      </c>
      <c r="BU103" s="261" t="e">
        <f t="shared" si="59"/>
        <v>#VALUE!</v>
      </c>
      <c r="BV103" s="261">
        <f t="shared" si="60"/>
        <v>0</v>
      </c>
      <c r="BW103" s="125">
        <f t="shared" si="50"/>
        <v>2</v>
      </c>
      <c r="BZ103" s="258" t="s">
        <v>766</v>
      </c>
      <c r="CA103" s="258" t="s">
        <v>767</v>
      </c>
      <c r="CB103" s="261" t="e">
        <f t="shared" si="61"/>
        <v>#VALUE!</v>
      </c>
      <c r="CC103" s="409">
        <f t="shared" si="62"/>
        <v>8</v>
      </c>
      <c r="CD103" s="409">
        <f t="shared" si="63"/>
        <v>0</v>
      </c>
      <c r="CE103" s="409" t="e">
        <f t="shared" si="64"/>
        <v>#VALUE!</v>
      </c>
      <c r="CF103" s="409">
        <f t="shared" si="65"/>
        <v>5</v>
      </c>
      <c r="CG103" s="409" t="e">
        <f t="shared" si="66"/>
        <v>#VALUE!</v>
      </c>
      <c r="CH103" s="409" t="e">
        <f t="shared" si="67"/>
        <v>#VALUE!</v>
      </c>
      <c r="CI103" s="409">
        <f t="shared" si="68"/>
        <v>0</v>
      </c>
      <c r="CJ103" s="409">
        <f t="shared" si="69"/>
        <v>2</v>
      </c>
      <c r="CK103" s="372">
        <f t="shared" si="70"/>
        <v>0</v>
      </c>
      <c r="CM103" s="258" t="s">
        <v>766</v>
      </c>
      <c r="CN103" s="258" t="s">
        <v>767</v>
      </c>
      <c r="CO103" s="5" t="e">
        <f t="shared" si="71"/>
        <v>#VALUE!</v>
      </c>
      <c r="CP103" s="5">
        <f t="shared" si="72"/>
        <v>7.0422535211267607E-3</v>
      </c>
      <c r="CQ103" s="5">
        <f t="shared" si="73"/>
        <v>0</v>
      </c>
      <c r="CR103" s="5" t="e">
        <f t="shared" si="74"/>
        <v>#VALUE!</v>
      </c>
      <c r="CS103" s="5">
        <f t="shared" si="75"/>
        <v>1.450536698578474E-3</v>
      </c>
      <c r="CT103" s="5" t="e">
        <f t="shared" si="76"/>
        <v>#VALUE!</v>
      </c>
      <c r="CU103" s="5" t="e">
        <f t="shared" si="77"/>
        <v>#VALUE!</v>
      </c>
      <c r="CV103" s="5">
        <f t="shared" si="78"/>
        <v>0</v>
      </c>
      <c r="CW103" s="5" t="e">
        <f t="shared" si="79"/>
        <v>#VALUE!</v>
      </c>
      <c r="CX103" s="5">
        <f t="shared" si="80"/>
        <v>4.6948356807511738E-3</v>
      </c>
      <c r="CZ103" s="447" t="s">
        <v>766</v>
      </c>
      <c r="DA103" s="447" t="s">
        <v>767</v>
      </c>
      <c r="DB103" s="18" t="e">
        <f t="shared" si="81"/>
        <v>#VALUE!</v>
      </c>
      <c r="DC103" s="18" t="e">
        <f t="shared" si="82"/>
        <v>#DIV/0!</v>
      </c>
      <c r="DD103" s="18" t="e">
        <f t="shared" si="43"/>
        <v>#VALUE!</v>
      </c>
      <c r="DE103" s="18">
        <f t="shared" si="83"/>
        <v>0</v>
      </c>
      <c r="DF103" s="18" t="e">
        <f t="shared" si="84"/>
        <v>#VALUE!</v>
      </c>
      <c r="DG103" s="18" t="e">
        <f t="shared" si="85"/>
        <v>#VALUE!</v>
      </c>
      <c r="DH103" s="18" t="e">
        <f t="shared" si="86"/>
        <v>#DIV/0!</v>
      </c>
      <c r="DI103" s="18" t="e">
        <f t="shared" si="87"/>
        <v>#VALUE!</v>
      </c>
      <c r="DJ103" s="18">
        <f t="shared" si="88"/>
        <v>0</v>
      </c>
    </row>
    <row r="104" spans="1:114">
      <c r="A104" s="371" t="s">
        <v>768</v>
      </c>
      <c r="B104" s="371" t="s">
        <v>769</v>
      </c>
      <c r="C104" s="362">
        <v>22</v>
      </c>
      <c r="D104" s="362">
        <v>9</v>
      </c>
      <c r="E104" s="362">
        <v>0</v>
      </c>
      <c r="F104" s="362" t="s">
        <v>631</v>
      </c>
      <c r="G104" s="362" t="s">
        <v>631</v>
      </c>
      <c r="H104" s="362" t="s">
        <v>611</v>
      </c>
      <c r="I104" s="372" t="e">
        <f t="shared" si="51"/>
        <v>#VALUE!</v>
      </c>
      <c r="J104" s="362">
        <v>0</v>
      </c>
      <c r="K104" s="362">
        <v>0</v>
      </c>
      <c r="L104" s="362" t="s">
        <v>611</v>
      </c>
      <c r="M104" s="372" t="e">
        <f t="shared" si="52"/>
        <v>#VALUE!</v>
      </c>
      <c r="N104" s="262"/>
      <c r="P104" s="258" t="s">
        <v>768</v>
      </c>
      <c r="Q104" s="258" t="s">
        <v>769</v>
      </c>
      <c r="R104" s="125" t="s">
        <v>611</v>
      </c>
      <c r="S104" s="125">
        <v>0</v>
      </c>
      <c r="T104" s="125">
        <v>0</v>
      </c>
      <c r="U104" s="125" t="s">
        <v>611</v>
      </c>
      <c r="V104" s="125">
        <v>0</v>
      </c>
      <c r="W104" s="125">
        <v>0</v>
      </c>
      <c r="X104" s="125">
        <v>0</v>
      </c>
      <c r="Y104" s="125" t="s">
        <v>611</v>
      </c>
      <c r="Z104" s="125"/>
      <c r="AB104" s="258" t="s">
        <v>768</v>
      </c>
      <c r="AC104" s="258" t="s">
        <v>769</v>
      </c>
      <c r="AD104" s="125">
        <v>22</v>
      </c>
      <c r="AE104" s="125">
        <v>9</v>
      </c>
      <c r="AF104" s="125">
        <v>0</v>
      </c>
      <c r="AG104" s="125" t="s">
        <v>631</v>
      </c>
      <c r="AH104" s="125" t="s">
        <v>631</v>
      </c>
      <c r="AI104" s="125" t="s">
        <v>611</v>
      </c>
      <c r="AJ104" s="125">
        <v>0</v>
      </c>
      <c r="AK104" s="125">
        <v>0</v>
      </c>
      <c r="AL104" s="125">
        <v>0</v>
      </c>
      <c r="AO104" s="258" t="s">
        <v>768</v>
      </c>
      <c r="AP104" s="258" t="s">
        <v>769</v>
      </c>
      <c r="AQ104" s="125">
        <v>22</v>
      </c>
      <c r="AR104" s="125">
        <v>9</v>
      </c>
      <c r="AS104" s="125">
        <v>0</v>
      </c>
      <c r="AT104" s="125" t="s">
        <v>631</v>
      </c>
      <c r="AU104" s="125" t="s">
        <v>631</v>
      </c>
      <c r="AV104" s="125" t="s">
        <v>611</v>
      </c>
      <c r="AW104" s="125">
        <v>0</v>
      </c>
      <c r="AX104" s="125">
        <v>0</v>
      </c>
      <c r="AY104" s="125">
        <v>0</v>
      </c>
      <c r="BB104" s="258" t="s">
        <v>768</v>
      </c>
      <c r="BC104" s="258" t="s">
        <v>769</v>
      </c>
      <c r="BD104" s="125">
        <v>0</v>
      </c>
      <c r="BE104" s="125">
        <v>0</v>
      </c>
      <c r="BF104" s="125">
        <v>0</v>
      </c>
      <c r="BG104" s="125">
        <v>0</v>
      </c>
      <c r="BH104" s="125">
        <v>0</v>
      </c>
      <c r="BI104" s="125">
        <v>0</v>
      </c>
      <c r="BJ104" s="125">
        <v>0</v>
      </c>
      <c r="BK104" s="261"/>
      <c r="BL104" s="261"/>
      <c r="BM104" s="258" t="s">
        <v>768</v>
      </c>
      <c r="BN104" s="258" t="s">
        <v>769</v>
      </c>
      <c r="BO104" s="261" t="e">
        <f t="shared" si="53"/>
        <v>#VALUE!</v>
      </c>
      <c r="BP104" s="261">
        <f t="shared" si="54"/>
        <v>9</v>
      </c>
      <c r="BQ104" s="261">
        <f t="shared" si="55"/>
        <v>0</v>
      </c>
      <c r="BR104" s="261" t="e">
        <f t="shared" si="56"/>
        <v>#VALUE!</v>
      </c>
      <c r="BS104" s="261" t="e">
        <f t="shared" si="57"/>
        <v>#VALUE!</v>
      </c>
      <c r="BT104" s="261" t="e">
        <f t="shared" si="58"/>
        <v>#VALUE!</v>
      </c>
      <c r="BU104" s="261">
        <f t="shared" si="59"/>
        <v>0</v>
      </c>
      <c r="BV104" s="261">
        <f t="shared" si="60"/>
        <v>0</v>
      </c>
      <c r="BW104" s="125">
        <f t="shared" si="50"/>
        <v>0</v>
      </c>
      <c r="BZ104" s="258" t="s">
        <v>768</v>
      </c>
      <c r="CA104" s="258" t="s">
        <v>769</v>
      </c>
      <c r="CB104" s="261" t="e">
        <f t="shared" si="61"/>
        <v>#VALUE!</v>
      </c>
      <c r="CC104" s="409">
        <f t="shared" si="62"/>
        <v>9</v>
      </c>
      <c r="CD104" s="409">
        <f t="shared" si="63"/>
        <v>0</v>
      </c>
      <c r="CE104" s="409" t="e">
        <f t="shared" si="64"/>
        <v>#VALUE!</v>
      </c>
      <c r="CF104" s="409" t="e">
        <f t="shared" si="65"/>
        <v>#VALUE!</v>
      </c>
      <c r="CG104" s="409" t="e">
        <f t="shared" si="66"/>
        <v>#VALUE!</v>
      </c>
      <c r="CH104" s="409">
        <f t="shared" si="67"/>
        <v>0</v>
      </c>
      <c r="CI104" s="409">
        <f t="shared" si="68"/>
        <v>0</v>
      </c>
      <c r="CJ104" s="409">
        <f t="shared" si="69"/>
        <v>0</v>
      </c>
      <c r="CK104" s="372">
        <f t="shared" si="70"/>
        <v>0</v>
      </c>
      <c r="CM104" s="258" t="s">
        <v>768</v>
      </c>
      <c r="CN104" s="258" t="s">
        <v>769</v>
      </c>
      <c r="CO104" s="5" t="e">
        <f t="shared" si="71"/>
        <v>#VALUE!</v>
      </c>
      <c r="CP104" s="5">
        <f t="shared" si="72"/>
        <v>7.9225352112676055E-3</v>
      </c>
      <c r="CQ104" s="5">
        <f t="shared" si="73"/>
        <v>0</v>
      </c>
      <c r="CR104" s="5" t="e">
        <f t="shared" si="74"/>
        <v>#VALUE!</v>
      </c>
      <c r="CS104" s="5" t="e">
        <f t="shared" si="75"/>
        <v>#VALUE!</v>
      </c>
      <c r="CT104" s="5" t="e">
        <f t="shared" si="76"/>
        <v>#VALUE!</v>
      </c>
      <c r="CU104" s="5">
        <f t="shared" si="77"/>
        <v>0</v>
      </c>
      <c r="CV104" s="5">
        <f t="shared" si="78"/>
        <v>0</v>
      </c>
      <c r="CW104" s="5">
        <f t="shared" si="79"/>
        <v>0</v>
      </c>
      <c r="CX104" s="5">
        <f t="shared" si="80"/>
        <v>0</v>
      </c>
      <c r="CZ104" s="447" t="s">
        <v>768</v>
      </c>
      <c r="DA104" s="447" t="s">
        <v>769</v>
      </c>
      <c r="DB104" s="18" t="e">
        <f t="shared" si="81"/>
        <v>#VALUE!</v>
      </c>
      <c r="DC104" s="18" t="e">
        <f t="shared" si="82"/>
        <v>#DIV/0!</v>
      </c>
      <c r="DD104" s="18" t="e">
        <f t="shared" si="43"/>
        <v>#VALUE!</v>
      </c>
      <c r="DE104" s="18" t="e">
        <f t="shared" si="83"/>
        <v>#VALUE!</v>
      </c>
      <c r="DF104" s="18" t="e">
        <f t="shared" si="84"/>
        <v>#VALUE!</v>
      </c>
      <c r="DG104" s="18" t="e">
        <f t="shared" si="85"/>
        <v>#DIV/0!</v>
      </c>
      <c r="DH104" s="18" t="e">
        <f t="shared" si="86"/>
        <v>#DIV/0!</v>
      </c>
      <c r="DI104" s="18" t="e">
        <f t="shared" si="87"/>
        <v>#DIV/0!</v>
      </c>
      <c r="DJ104" s="18" t="e">
        <f t="shared" si="88"/>
        <v>#DIV/0!</v>
      </c>
    </row>
    <row r="105" spans="1:114">
      <c r="A105" s="371" t="s">
        <v>1094</v>
      </c>
      <c r="B105" s="371" t="s">
        <v>557</v>
      </c>
      <c r="C105" s="362">
        <v>10476</v>
      </c>
      <c r="D105" s="362">
        <v>1136</v>
      </c>
      <c r="E105" s="362">
        <v>67</v>
      </c>
      <c r="F105" s="362">
        <f>SUM(F24:F104)</f>
        <v>616</v>
      </c>
      <c r="G105" s="362">
        <v>3446</v>
      </c>
      <c r="H105" s="362">
        <v>2182</v>
      </c>
      <c r="I105" s="372">
        <f t="shared" si="51"/>
        <v>3054</v>
      </c>
      <c r="J105" s="362">
        <v>387</v>
      </c>
      <c r="K105" s="362">
        <v>33</v>
      </c>
      <c r="L105" s="362">
        <v>3662</v>
      </c>
      <c r="M105" s="372">
        <f>L105-Y105-SUM(BX76:BX77,BX49:BX54)</f>
        <v>2246</v>
      </c>
      <c r="N105" s="262"/>
      <c r="P105" s="258" t="s">
        <v>1095</v>
      </c>
      <c r="Q105" s="258" t="s">
        <v>557</v>
      </c>
      <c r="R105" s="125">
        <v>3657</v>
      </c>
      <c r="S105" s="125">
        <v>55</v>
      </c>
      <c r="T105" s="125">
        <v>6</v>
      </c>
      <c r="U105" s="125">
        <v>459</v>
      </c>
      <c r="V105" s="125">
        <v>2155</v>
      </c>
      <c r="W105" s="125">
        <v>110</v>
      </c>
      <c r="X105" s="125">
        <v>1</v>
      </c>
      <c r="Y105" s="125">
        <v>872</v>
      </c>
      <c r="Z105" s="260"/>
      <c r="AB105" s="129" t="s">
        <v>1096</v>
      </c>
      <c r="AC105" s="129" t="s">
        <v>557</v>
      </c>
      <c r="AD105" s="260">
        <v>7726</v>
      </c>
      <c r="AE105" s="260">
        <v>1136</v>
      </c>
      <c r="AF105" s="260">
        <v>13</v>
      </c>
      <c r="AG105" s="260">
        <v>45</v>
      </c>
      <c r="AH105" s="260">
        <v>2988</v>
      </c>
      <c r="AI105" s="260">
        <v>27</v>
      </c>
      <c r="AJ105" s="260">
        <v>277</v>
      </c>
      <c r="AK105" s="260">
        <v>32</v>
      </c>
      <c r="AL105" s="260">
        <v>3208</v>
      </c>
      <c r="AO105" s="258" t="s">
        <v>1097</v>
      </c>
      <c r="AP105" s="258" t="s">
        <v>557</v>
      </c>
      <c r="AQ105" s="125">
        <v>5461</v>
      </c>
      <c r="AR105" s="125">
        <v>1212</v>
      </c>
      <c r="AS105" s="125">
        <v>12</v>
      </c>
      <c r="AT105" s="125">
        <v>43</v>
      </c>
      <c r="AU105" s="125">
        <v>2975</v>
      </c>
      <c r="AV105" s="125">
        <v>20</v>
      </c>
      <c r="AW105" s="125">
        <v>277</v>
      </c>
      <c r="AX105" s="125">
        <v>32</v>
      </c>
      <c r="AY105" s="125">
        <v>890</v>
      </c>
      <c r="BB105" s="258" t="s">
        <v>1098</v>
      </c>
      <c r="BC105" s="258" t="s">
        <v>557</v>
      </c>
      <c r="BD105" s="125">
        <v>2532</v>
      </c>
      <c r="BE105" s="125">
        <f>SUM(BE24:BE104)</f>
        <v>58</v>
      </c>
      <c r="BF105" s="125">
        <v>1056</v>
      </c>
      <c r="BG105" s="125">
        <f>SUM(BG24:BG104)</f>
        <v>647</v>
      </c>
      <c r="BH105" s="125">
        <v>667</v>
      </c>
      <c r="BI105" s="125">
        <v>426</v>
      </c>
      <c r="BJ105" s="125">
        <v>16</v>
      </c>
      <c r="BK105" s="261"/>
      <c r="BL105" s="261"/>
      <c r="BM105" s="304" t="s">
        <v>1219</v>
      </c>
      <c r="BN105" s="258" t="s">
        <v>557</v>
      </c>
      <c r="BO105" s="261">
        <f>SUM(BP105:BW105)</f>
        <v>9162</v>
      </c>
      <c r="BP105" s="261">
        <f>AE105</f>
        <v>1136</v>
      </c>
      <c r="BQ105" s="261">
        <f>S105+AF105+BJ105</f>
        <v>84</v>
      </c>
      <c r="BR105" s="261">
        <f>T105+AG105+BX105</f>
        <v>595</v>
      </c>
      <c r="BS105" s="261">
        <f t="shared" si="57"/>
        <v>3447</v>
      </c>
      <c r="BT105" s="261">
        <f t="shared" si="58"/>
        <v>3054</v>
      </c>
      <c r="BU105" s="261">
        <f t="shared" si="59"/>
        <v>387</v>
      </c>
      <c r="BV105" s="261">
        <f t="shared" si="60"/>
        <v>33</v>
      </c>
      <c r="BW105" s="125">
        <f t="shared" si="50"/>
        <v>426</v>
      </c>
      <c r="BX105">
        <f>SUM(BX49:BX78)</f>
        <v>544</v>
      </c>
      <c r="BZ105" s="304" t="s">
        <v>1219</v>
      </c>
      <c r="CA105" s="258" t="s">
        <v>557</v>
      </c>
      <c r="CB105" s="261">
        <f t="shared" si="61"/>
        <v>9146</v>
      </c>
      <c r="CC105" s="409">
        <f t="shared" si="62"/>
        <v>1136</v>
      </c>
      <c r="CD105" s="409">
        <f t="shared" si="63"/>
        <v>68</v>
      </c>
      <c r="CE105" s="409">
        <f t="shared" si="64"/>
        <v>595</v>
      </c>
      <c r="CF105" s="409">
        <f t="shared" si="65"/>
        <v>3447</v>
      </c>
      <c r="CG105" s="409">
        <f t="shared" si="66"/>
        <v>3054</v>
      </c>
      <c r="CH105" s="409">
        <f t="shared" si="67"/>
        <v>387</v>
      </c>
      <c r="CI105" s="409">
        <f t="shared" si="68"/>
        <v>33</v>
      </c>
      <c r="CJ105" s="409">
        <f t="shared" si="69"/>
        <v>426</v>
      </c>
      <c r="CK105" s="409">
        <f t="shared" si="70"/>
        <v>544</v>
      </c>
    </row>
    <row r="106" spans="1:114" ht="56" customHeight="1">
      <c r="C106" s="261"/>
      <c r="D106" s="261"/>
      <c r="E106" s="261"/>
      <c r="F106" s="261"/>
      <c r="G106" s="261"/>
      <c r="H106" s="261"/>
      <c r="I106" s="261"/>
      <c r="J106" s="261"/>
      <c r="K106" s="261"/>
      <c r="P106" s="302">
        <v>2.2000000000000002</v>
      </c>
      <c r="Q106" s="264" t="s">
        <v>1126</v>
      </c>
      <c r="R106" s="261">
        <f>R105</f>
        <v>3657</v>
      </c>
      <c r="S106" s="261">
        <f>S105</f>
        <v>55</v>
      </c>
      <c r="T106" s="261">
        <f>T105</f>
        <v>6</v>
      </c>
      <c r="U106" s="261">
        <f>U105</f>
        <v>459</v>
      </c>
      <c r="V106" s="278">
        <f>V105+Y105</f>
        <v>3027</v>
      </c>
      <c r="W106" s="261">
        <f>W105</f>
        <v>110</v>
      </c>
      <c r="X106" s="261">
        <f>X105</f>
        <v>1</v>
      </c>
      <c r="Y106" s="265">
        <v>0</v>
      </c>
      <c r="AB106" s="302">
        <v>3.2</v>
      </c>
      <c r="AC106" s="264" t="s">
        <v>1127</v>
      </c>
      <c r="AD106" s="125">
        <f>SUM(AE106:AL106)</f>
        <v>7308</v>
      </c>
      <c r="AE106" s="265">
        <f>AE105</f>
        <v>1136</v>
      </c>
      <c r="AF106" s="125">
        <f>AF105+AI109</f>
        <v>36.681697612732094</v>
      </c>
      <c r="AG106" s="125">
        <f>AG105+AF109</f>
        <v>45</v>
      </c>
      <c r="AH106" s="125">
        <f>AH105</f>
        <v>2988</v>
      </c>
      <c r="AI106" s="125">
        <f>AI105</f>
        <v>27</v>
      </c>
      <c r="AJ106" s="125">
        <f>AJ105</f>
        <v>277</v>
      </c>
      <c r="AK106" s="125">
        <f>AK105</f>
        <v>32</v>
      </c>
      <c r="AL106" s="125">
        <f>(L105-Y105)-AF109-AI109</f>
        <v>2766.318302387268</v>
      </c>
      <c r="AP106" s="303">
        <v>4.2</v>
      </c>
      <c r="AQ106" s="260"/>
      <c r="AR106" s="260"/>
      <c r="AS106" s="260"/>
      <c r="AT106" s="260"/>
      <c r="AU106" s="260"/>
      <c r="AV106" s="260"/>
      <c r="AW106" s="260"/>
      <c r="AX106" s="260"/>
      <c r="AY106" s="260"/>
      <c r="BB106" s="303">
        <v>3.5</v>
      </c>
      <c r="BC106" s="497" t="s">
        <v>1104</v>
      </c>
      <c r="BD106" s="497"/>
      <c r="BE106">
        <f>BE105/($BD$105-$BG$105)</f>
        <v>3.0769230769230771E-2</v>
      </c>
      <c r="BF106" s="5">
        <f t="shared" ref="BF106:BJ106" si="89">BF105/($BD$105-$BG$105)</f>
        <v>0.56021220159151197</v>
      </c>
      <c r="BG106" s="5"/>
      <c r="BH106" s="5">
        <f t="shared" si="89"/>
        <v>0.35384615384615387</v>
      </c>
      <c r="BI106" s="5">
        <f t="shared" si="89"/>
        <v>0.22599469496021221</v>
      </c>
      <c r="BJ106" s="5">
        <f t="shared" si="89"/>
        <v>8.4880636604774528E-3</v>
      </c>
      <c r="BK106" s="261"/>
      <c r="BM106" s="303" t="s">
        <v>1218</v>
      </c>
      <c r="BN106" s="264"/>
      <c r="BO106" s="261"/>
      <c r="BP106" s="261"/>
      <c r="BQ106" s="261"/>
      <c r="BR106" s="24"/>
      <c r="BS106" s="261"/>
      <c r="BT106" s="261"/>
      <c r="BU106" s="261"/>
      <c r="BV106" s="261"/>
      <c r="BW106" s="350"/>
      <c r="BZ106" s="368"/>
      <c r="CA106" s="368"/>
      <c r="CB106" s="5"/>
      <c r="CC106" s="5"/>
      <c r="CD106" s="5"/>
      <c r="CE106" s="5"/>
      <c r="CF106" s="5"/>
      <c r="CG106" s="5"/>
      <c r="CH106" s="5"/>
      <c r="CI106" s="5"/>
      <c r="CJ106" s="5"/>
    </row>
    <row r="107" spans="1:114" ht="57">
      <c r="AC107" s="264"/>
      <c r="AD107" s="261"/>
      <c r="AE107" s="5"/>
      <c r="AF107" s="5"/>
      <c r="AG107" s="5"/>
      <c r="AH107" s="5"/>
      <c r="AI107" s="5"/>
      <c r="AJ107" s="5"/>
      <c r="AK107" s="5"/>
      <c r="AL107" s="261"/>
      <c r="AP107" s="264"/>
      <c r="AQ107" s="261"/>
      <c r="AR107" s="261"/>
      <c r="AS107" s="261"/>
      <c r="AT107" s="261"/>
      <c r="AU107" s="261"/>
      <c r="AV107" s="261"/>
      <c r="AW107" s="261"/>
      <c r="AX107" s="261"/>
      <c r="AY107" s="261"/>
      <c r="BC107" s="261"/>
      <c r="BD107" s="261"/>
      <c r="BE107" s="350" t="s">
        <v>1168</v>
      </c>
      <c r="BF107" s="350" t="s">
        <v>1169</v>
      </c>
      <c r="BG107" s="350" t="s">
        <v>1296</v>
      </c>
      <c r="BH107" s="350" t="s">
        <v>1170</v>
      </c>
      <c r="BI107" s="350" t="s">
        <v>1171</v>
      </c>
      <c r="BJ107" s="350" t="s">
        <v>1145</v>
      </c>
      <c r="BK107" s="261"/>
      <c r="BO107" s="261"/>
      <c r="BP107" s="261"/>
      <c r="BQ107" s="261"/>
      <c r="BR107" s="261"/>
      <c r="BS107" s="261"/>
      <c r="BT107" s="261"/>
      <c r="BU107" s="261"/>
      <c r="BV107" s="261"/>
      <c r="BX107" s="261"/>
    </row>
    <row r="108" spans="1:114" ht="24">
      <c r="Y108" s="261"/>
      <c r="AC108" s="264" t="s">
        <v>1099</v>
      </c>
      <c r="AD108" s="262"/>
      <c r="AE108" s="262" t="s">
        <v>1100</v>
      </c>
      <c r="AF108" s="276" t="s">
        <v>814</v>
      </c>
      <c r="AG108" s="279" t="s">
        <v>1101</v>
      </c>
      <c r="AH108" s="279" t="s">
        <v>1102</v>
      </c>
      <c r="AI108" s="276" t="s">
        <v>1035</v>
      </c>
      <c r="AJ108" s="262"/>
      <c r="AK108" s="262"/>
      <c r="AL108" s="262"/>
      <c r="BE108" s="5"/>
      <c r="BF108" s="5"/>
      <c r="BG108" s="5"/>
      <c r="BH108" s="5"/>
      <c r="BI108" s="238"/>
      <c r="BJ108" s="5"/>
      <c r="BO108" s="261"/>
      <c r="BP108" s="261"/>
      <c r="BQ108" s="261"/>
      <c r="BR108" s="261"/>
      <c r="BS108" s="261"/>
      <c r="BT108" s="261"/>
      <c r="BU108" s="261"/>
      <c r="BV108" s="261"/>
      <c r="BW108" s="261"/>
    </row>
    <row r="109" spans="1:114">
      <c r="AE109">
        <f>($L$105-$Y$105)*(BE106+BF106)</f>
        <v>1648.8381962864723</v>
      </c>
      <c r="AF109" s="146">
        <f>($L$105-$Y$105)*BG106</f>
        <v>0</v>
      </c>
      <c r="AG109" s="18">
        <f>($L$105-$Y$105)*BH106</f>
        <v>987.23076923076928</v>
      </c>
      <c r="AH109" s="18">
        <f>($L$105-$Y$105)*BI106</f>
        <v>630.52519893899205</v>
      </c>
      <c r="AI109" s="146">
        <f>($L$105-$Y$105)*BJ106</f>
        <v>23.681697612732094</v>
      </c>
      <c r="AM109" s="262"/>
      <c r="BD109" s="261"/>
      <c r="BE109" s="261"/>
      <c r="BF109" s="261"/>
      <c r="BG109" s="261"/>
      <c r="BH109" s="261"/>
      <c r="BI109" s="24"/>
      <c r="BJ109" s="261"/>
      <c r="BO109" s="261"/>
      <c r="BP109" s="261"/>
      <c r="BQ109" s="261"/>
      <c r="BR109" s="261"/>
      <c r="BS109" s="261"/>
      <c r="BT109" s="261"/>
      <c r="BU109" s="261"/>
      <c r="BV109" s="261"/>
      <c r="BW109" s="261"/>
    </row>
    <row r="110" spans="1:114" ht="15" customHeight="1">
      <c r="Q110" s="266"/>
      <c r="R110" s="266"/>
      <c r="S110" s="266"/>
      <c r="T110" s="266"/>
      <c r="U110" s="266"/>
      <c r="V110" s="266"/>
      <c r="W110" s="266"/>
      <c r="X110" s="266"/>
      <c r="Y110" s="266"/>
      <c r="AC110" s="267"/>
      <c r="AD110" s="267"/>
      <c r="AE110" s="267"/>
      <c r="AF110" s="267"/>
      <c r="AG110" s="267"/>
      <c r="AH110" s="267"/>
      <c r="AI110" s="267"/>
      <c r="AJ110" s="267"/>
      <c r="AK110" s="267"/>
      <c r="AL110" s="267"/>
      <c r="AM110" s="267"/>
      <c r="AN110" s="267"/>
      <c r="AP110" s="269"/>
      <c r="AQ110" s="269"/>
      <c r="AR110" s="269"/>
      <c r="AS110" s="269"/>
      <c r="AT110" s="269"/>
      <c r="AU110" s="269"/>
      <c r="AV110" s="269"/>
      <c r="AW110" s="269"/>
      <c r="AX110" s="269"/>
      <c r="BO110" s="261"/>
      <c r="BP110" s="261"/>
      <c r="BQ110" s="261"/>
      <c r="BR110" s="261"/>
      <c r="BS110" s="261"/>
      <c r="BT110" s="261"/>
      <c r="BU110" s="261"/>
      <c r="BV110" s="261"/>
      <c r="BW110" s="261"/>
    </row>
    <row r="111" spans="1:114">
      <c r="Q111" s="266"/>
      <c r="R111" s="266"/>
      <c r="S111" s="266"/>
      <c r="T111" s="266"/>
      <c r="U111" s="266"/>
      <c r="V111" s="266"/>
      <c r="W111" s="266"/>
      <c r="X111" s="266"/>
      <c r="Y111" s="266"/>
      <c r="AC111" s="267"/>
      <c r="AD111" s="267"/>
      <c r="AE111" s="305"/>
      <c r="AF111" s="267"/>
      <c r="AG111" s="267"/>
      <c r="AH111" s="267"/>
      <c r="AI111" s="267"/>
      <c r="AJ111" s="267"/>
      <c r="AK111" s="267"/>
      <c r="AL111" s="267"/>
      <c r="AM111" s="267"/>
      <c r="AN111" s="267"/>
      <c r="AP111" s="269"/>
      <c r="AQ111" s="269"/>
      <c r="AR111" s="269"/>
      <c r="AS111" s="269"/>
      <c r="AT111" s="269"/>
      <c r="AU111" s="269"/>
      <c r="AV111" s="269"/>
      <c r="AW111" s="269"/>
      <c r="AX111" s="269"/>
      <c r="AY111" s="261"/>
      <c r="AZ111" s="238"/>
      <c r="BO111" s="261"/>
      <c r="BP111" s="261"/>
      <c r="BQ111" s="261"/>
      <c r="BR111" s="261"/>
      <c r="BS111" s="261"/>
      <c r="BT111" s="261"/>
      <c r="BU111" s="261"/>
      <c r="BV111" s="261"/>
      <c r="BW111" s="261"/>
    </row>
    <row r="112" spans="1:114">
      <c r="B112" s="266"/>
      <c r="C112" s="266"/>
      <c r="D112" s="266"/>
      <c r="E112" s="266"/>
      <c r="F112" s="266"/>
      <c r="G112" s="266"/>
      <c r="H112" s="266"/>
      <c r="I112" s="266"/>
      <c r="J112" s="266"/>
      <c r="K112" s="266"/>
      <c r="L112" s="266"/>
      <c r="M112" s="266"/>
      <c r="P112" s="266"/>
      <c r="Q112" s="266"/>
      <c r="R112" s="266"/>
      <c r="S112" s="266"/>
      <c r="T112" s="266"/>
      <c r="U112" s="266"/>
      <c r="V112" s="266"/>
      <c r="W112" s="266"/>
      <c r="X112" s="266"/>
      <c r="Y112" s="266"/>
      <c r="AC112" s="267"/>
      <c r="AD112" s="267"/>
      <c r="AE112" s="267"/>
      <c r="AF112" s="267"/>
      <c r="AG112" s="267"/>
      <c r="AH112" s="267"/>
      <c r="AI112" s="267"/>
      <c r="AJ112" s="267"/>
      <c r="AK112" s="267"/>
      <c r="AL112" s="267"/>
      <c r="AM112" s="267"/>
      <c r="AN112" s="267"/>
      <c r="AP112" s="269"/>
      <c r="AQ112" s="269"/>
      <c r="AR112" s="269"/>
      <c r="AS112" s="269"/>
      <c r="AT112" s="269"/>
      <c r="AU112" s="269"/>
      <c r="AV112" s="269"/>
      <c r="AW112" s="269"/>
      <c r="AX112" s="269"/>
      <c r="AY112" s="5"/>
      <c r="BO112" s="261"/>
      <c r="BP112" s="261"/>
      <c r="BQ112" s="261"/>
      <c r="BR112" s="261"/>
      <c r="BS112" s="261"/>
      <c r="BT112" s="261"/>
      <c r="BU112" s="261"/>
      <c r="BV112" s="261"/>
      <c r="BW112" s="261"/>
    </row>
    <row r="113" spans="1:75" s="8" customFormat="1" ht="15" customHeight="1">
      <c r="A113" s="2" t="s">
        <v>1137</v>
      </c>
      <c r="Q113" s="280"/>
      <c r="R113" s="280"/>
      <c r="S113" s="280"/>
      <c r="T113" s="280"/>
      <c r="U113" s="280"/>
      <c r="V113" s="280"/>
      <c r="W113" s="280"/>
      <c r="X113" s="280"/>
      <c r="Y113" s="280"/>
      <c r="AC113" s="307"/>
      <c r="AD113" s="307"/>
      <c r="AE113" s="308"/>
      <c r="AF113" s="307"/>
      <c r="AG113" s="307"/>
      <c r="AH113" s="307"/>
      <c r="AI113" s="307"/>
      <c r="AJ113" s="307"/>
      <c r="AK113" s="307"/>
      <c r="AL113" s="307"/>
      <c r="AM113" s="307"/>
      <c r="AN113" s="307"/>
      <c r="AO113" s="280"/>
      <c r="AP113" s="309"/>
      <c r="AQ113" s="309"/>
      <c r="AR113" s="309"/>
      <c r="AS113" s="309"/>
      <c r="AT113" s="309"/>
      <c r="AU113" s="309"/>
      <c r="AV113" s="309"/>
      <c r="AW113" s="309"/>
      <c r="AX113" s="309"/>
      <c r="BO113" s="310"/>
      <c r="BP113" s="310"/>
      <c r="BQ113" s="310"/>
      <c r="BR113" s="310"/>
      <c r="BS113" s="310"/>
      <c r="BT113" s="310"/>
      <c r="BU113" s="310"/>
      <c r="BV113" s="310"/>
      <c r="BW113" s="310"/>
    </row>
    <row r="114" spans="1:75">
      <c r="A114" s="5" t="s">
        <v>1138</v>
      </c>
      <c r="Q114" s="266"/>
      <c r="R114" s="266"/>
      <c r="S114" s="266"/>
      <c r="T114" s="266"/>
      <c r="U114" s="266"/>
      <c r="V114" s="266"/>
      <c r="W114" s="266"/>
      <c r="X114" s="266"/>
      <c r="Y114" s="266"/>
      <c r="AC114" s="267"/>
      <c r="AD114" s="267"/>
      <c r="AE114" s="267"/>
      <c r="AF114" s="267"/>
      <c r="AG114" s="267"/>
      <c r="AH114" s="267"/>
      <c r="AI114" s="267"/>
      <c r="AJ114" s="267"/>
      <c r="AK114" s="267"/>
      <c r="AL114" s="267"/>
      <c r="AM114" s="267"/>
      <c r="AN114" s="267"/>
      <c r="AO114" s="266"/>
      <c r="AP114" s="269"/>
      <c r="AQ114" s="269"/>
      <c r="AR114" s="269"/>
      <c r="AS114" s="269"/>
      <c r="AT114" s="269"/>
      <c r="AU114" s="269"/>
      <c r="AV114" s="269"/>
      <c r="AW114" s="269"/>
      <c r="AX114" s="269"/>
      <c r="AY114" s="269"/>
      <c r="AZ114" s="269"/>
    </row>
    <row r="115" spans="1:75" ht="14.65" thickBot="1">
      <c r="Q115" s="266"/>
      <c r="R115" s="266"/>
      <c r="S115" s="266"/>
      <c r="T115" s="266"/>
      <c r="U115" s="266"/>
      <c r="V115" s="266"/>
      <c r="W115" s="266"/>
      <c r="X115" s="266"/>
      <c r="Y115" s="266"/>
      <c r="AC115" s="267"/>
      <c r="AD115" s="267"/>
      <c r="AE115" s="267"/>
      <c r="AF115" s="267"/>
      <c r="AG115" s="267"/>
      <c r="AH115" s="267"/>
      <c r="AI115" s="267"/>
      <c r="AJ115" s="267"/>
      <c r="AK115" s="267"/>
      <c r="AL115" s="267"/>
      <c r="AM115" s="267"/>
      <c r="AN115" s="267"/>
      <c r="AO115" s="266"/>
      <c r="AP115" s="269"/>
      <c r="AQ115" s="269"/>
      <c r="AR115" s="269"/>
      <c r="AS115" s="269"/>
      <c r="AT115" s="269"/>
      <c r="AU115" s="269"/>
      <c r="AV115" s="269"/>
      <c r="AW115" s="269"/>
      <c r="AX115" s="269"/>
      <c r="AY115" s="269"/>
      <c r="AZ115" s="269"/>
    </row>
    <row r="116" spans="1:75">
      <c r="B116" s="322" t="s">
        <v>1163</v>
      </c>
      <c r="C116" s="323"/>
      <c r="D116" s="323"/>
      <c r="E116" s="323"/>
      <c r="F116" s="323"/>
      <c r="G116" s="323"/>
      <c r="H116" s="324"/>
      <c r="I116" s="321" t="s">
        <v>1105</v>
      </c>
      <c r="J116" s="291"/>
      <c r="K116" s="274"/>
      <c r="L116" s="281"/>
      <c r="M116" s="282"/>
      <c r="N116" s="287" t="s">
        <v>1106</v>
      </c>
      <c r="O116" s="282"/>
      <c r="P116" s="288"/>
      <c r="Q116" s="266"/>
      <c r="R116" s="266"/>
      <c r="S116" s="266"/>
      <c r="T116" s="266"/>
      <c r="U116" s="266"/>
      <c r="V116" s="266"/>
      <c r="W116" s="266"/>
      <c r="X116" s="266"/>
      <c r="Y116" s="266"/>
      <c r="AC116" s="267"/>
      <c r="AD116" s="267"/>
      <c r="AE116" s="267"/>
      <c r="AF116" s="267"/>
      <c r="AG116" s="267"/>
      <c r="AH116" s="267"/>
      <c r="AI116" s="267"/>
      <c r="AJ116" s="267"/>
      <c r="AK116" s="267"/>
      <c r="AL116" s="267"/>
      <c r="AM116" s="267"/>
      <c r="AN116" s="267"/>
      <c r="AO116" s="266"/>
      <c r="AP116" s="269"/>
      <c r="AQ116" s="269"/>
      <c r="AR116" s="269"/>
      <c r="AS116" s="269"/>
      <c r="AT116" s="269"/>
      <c r="AU116" s="269"/>
      <c r="AV116" s="269"/>
      <c r="AW116" s="269"/>
      <c r="AX116" s="269"/>
      <c r="AY116" s="269"/>
      <c r="AZ116" s="269"/>
    </row>
    <row r="117" spans="1:75">
      <c r="B117" s="325"/>
      <c r="C117" s="270"/>
      <c r="D117" s="270"/>
      <c r="E117" s="270"/>
      <c r="F117" s="270"/>
      <c r="G117" s="270"/>
      <c r="H117" s="326"/>
      <c r="I117" s="270"/>
      <c r="J117" s="177"/>
      <c r="K117" s="270"/>
      <c r="L117" s="283"/>
      <c r="M117" s="284"/>
      <c r="N117" s="288"/>
      <c r="O117" s="284"/>
      <c r="P117" s="266"/>
      <c r="AO117" s="266"/>
      <c r="AP117" s="266"/>
      <c r="AQ117" s="266"/>
      <c r="AR117" s="266"/>
      <c r="AS117" s="266"/>
      <c r="AT117" s="266"/>
      <c r="AU117" s="266"/>
      <c r="AV117" s="266"/>
      <c r="AW117" s="266"/>
      <c r="AX117" s="266"/>
      <c r="AY117" s="266"/>
    </row>
    <row r="118" spans="1:75" ht="26.65">
      <c r="B118" s="327" t="s">
        <v>1035</v>
      </c>
      <c r="C118" s="277" t="s">
        <v>814</v>
      </c>
      <c r="D118" s="271" t="s">
        <v>1010</v>
      </c>
      <c r="E118" s="271" t="s">
        <v>140</v>
      </c>
      <c r="F118" s="271" t="s">
        <v>796</v>
      </c>
      <c r="G118" s="271" t="s">
        <v>1036</v>
      </c>
      <c r="H118" s="328" t="s">
        <v>800</v>
      </c>
      <c r="I118" s="271" t="s">
        <v>1110</v>
      </c>
      <c r="J118" s="292" t="s">
        <v>1108</v>
      </c>
      <c r="K118" s="277" t="s">
        <v>1103</v>
      </c>
      <c r="L118" s="283" t="s">
        <v>814</v>
      </c>
      <c r="M118" s="284" t="s">
        <v>1035</v>
      </c>
      <c r="N118" s="288"/>
      <c r="O118" s="284" t="s">
        <v>140</v>
      </c>
      <c r="P118" s="266"/>
      <c r="AO118" s="266"/>
      <c r="AP118" s="266"/>
      <c r="AQ118" s="266"/>
      <c r="AR118" s="266"/>
      <c r="AS118" s="266"/>
      <c r="AT118" s="266"/>
      <c r="AU118" s="266"/>
      <c r="AV118" s="266"/>
      <c r="AW118" s="266"/>
      <c r="AX118" s="266"/>
      <c r="AY118" s="266"/>
    </row>
    <row r="119" spans="1:75" ht="14.65" thickBot="1">
      <c r="B119" s="329">
        <f>S106/AD106</f>
        <v>7.5259989053092502E-3</v>
      </c>
      <c r="C119" s="182">
        <f>T106/AD106</f>
        <v>8.2101806239737272E-4</v>
      </c>
      <c r="D119" s="182">
        <f>U106/AD106</f>
        <v>6.2807881773399021E-2</v>
      </c>
      <c r="E119" s="182">
        <f>V106/AD106</f>
        <v>0.41420361247947457</v>
      </c>
      <c r="F119" s="182">
        <f>W106/AD106</f>
        <v>1.50519978106185E-2</v>
      </c>
      <c r="G119" s="182">
        <f>X106/AD106</f>
        <v>1.3683634373289546E-4</v>
      </c>
      <c r="H119" s="330">
        <f>Y106/AD106</f>
        <v>0</v>
      </c>
      <c r="I119" s="272">
        <f>BH106</f>
        <v>0.35384615384615387</v>
      </c>
      <c r="J119" s="250">
        <f>BI106</f>
        <v>0.22599469496021221</v>
      </c>
      <c r="K119" s="272">
        <f>BE106+BF106</f>
        <v>0.59098143236074274</v>
      </c>
      <c r="L119" s="285">
        <f>BG106</f>
        <v>0</v>
      </c>
      <c r="M119" s="286">
        <f>BJ106</f>
        <v>8.4880636604774528E-3</v>
      </c>
      <c r="N119" s="289"/>
      <c r="O119" s="286" t="s">
        <v>1107</v>
      </c>
      <c r="P119" s="266"/>
      <c r="AO119" s="266"/>
      <c r="AP119" s="266"/>
      <c r="AQ119" s="266"/>
      <c r="AR119" s="266"/>
      <c r="AS119" s="266"/>
      <c r="AT119" s="266"/>
      <c r="AU119" s="266"/>
      <c r="AV119" s="266"/>
      <c r="AW119" s="266"/>
      <c r="AX119" s="266"/>
      <c r="AY119" s="266"/>
    </row>
    <row r="120" spans="1:75">
      <c r="A120" s="5" t="s">
        <v>1161</v>
      </c>
      <c r="B120" s="318"/>
      <c r="C120" s="266"/>
      <c r="D120" s="266"/>
      <c r="E120" s="266"/>
      <c r="F120" s="266"/>
      <c r="G120" s="266"/>
      <c r="H120" s="266"/>
      <c r="I120" s="266"/>
      <c r="J120" s="266"/>
      <c r="K120" s="266"/>
      <c r="L120" s="266"/>
      <c r="M120" s="266"/>
      <c r="P120" s="266"/>
      <c r="AO120" s="266"/>
      <c r="AP120" s="266"/>
      <c r="AR120" s="266"/>
      <c r="AS120" s="266"/>
      <c r="AT120" s="266"/>
      <c r="AU120" s="266"/>
      <c r="AV120" s="266"/>
      <c r="AW120" s="266"/>
      <c r="AX120" s="266"/>
      <c r="AY120" s="266"/>
    </row>
    <row r="121" spans="1:75">
      <c r="B121" s="112" t="s">
        <v>1172</v>
      </c>
      <c r="C121" s="266"/>
      <c r="D121" s="266"/>
      <c r="E121" s="266"/>
      <c r="F121" s="266"/>
      <c r="G121" s="266"/>
      <c r="H121" s="266"/>
      <c r="I121" s="266"/>
      <c r="J121" s="266"/>
      <c r="K121" s="266"/>
      <c r="L121" s="266"/>
      <c r="M121" s="266"/>
      <c r="P121" s="266"/>
    </row>
    <row r="122" spans="1:75">
      <c r="B122" s="112" t="s">
        <v>1165</v>
      </c>
    </row>
    <row r="123" spans="1:75">
      <c r="B123" s="273" t="s">
        <v>1164</v>
      </c>
    </row>
    <row r="124" spans="1:75">
      <c r="B124" s="6" t="s">
        <v>1041</v>
      </c>
    </row>
    <row r="125" spans="1:75">
      <c r="B125" s="6"/>
    </row>
    <row r="130" spans="2:37">
      <c r="B130" s="498" t="s">
        <v>1167</v>
      </c>
      <c r="C130" s="498"/>
      <c r="D130" s="498"/>
      <c r="E130" s="498"/>
      <c r="F130" s="498"/>
      <c r="G130" s="498"/>
      <c r="H130" s="498"/>
    </row>
    <row r="131" spans="2:37">
      <c r="B131" s="498"/>
      <c r="C131" s="498"/>
      <c r="D131" s="498"/>
      <c r="E131" s="498"/>
      <c r="F131" s="498"/>
      <c r="G131" s="498"/>
      <c r="H131" s="498"/>
      <c r="AB131" s="258"/>
      <c r="AC131" s="258"/>
      <c r="AE131" s="5"/>
      <c r="AF131" s="5"/>
      <c r="AG131" s="5"/>
      <c r="AH131" s="5"/>
      <c r="AI131" s="5"/>
      <c r="AJ131" s="5"/>
      <c r="AK131" s="5"/>
    </row>
    <row r="132" spans="2:37">
      <c r="B132" s="498"/>
      <c r="C132" s="498"/>
      <c r="D132" s="498"/>
      <c r="E132" s="498"/>
      <c r="F132" s="498"/>
      <c r="G132" s="498"/>
      <c r="H132" s="498"/>
      <c r="AB132" s="258"/>
      <c r="AC132" s="258"/>
      <c r="AD132" s="5"/>
      <c r="AE132" s="5"/>
      <c r="AF132" s="5"/>
      <c r="AG132" s="5"/>
      <c r="AH132" s="5"/>
      <c r="AI132" s="5"/>
      <c r="AJ132" s="5"/>
      <c r="AK132" s="5"/>
    </row>
    <row r="133" spans="2:37">
      <c r="AB133" s="258"/>
      <c r="AC133" s="258"/>
      <c r="AD133" s="5"/>
      <c r="AE133" s="5"/>
      <c r="AF133" s="5"/>
      <c r="AG133" s="5"/>
      <c r="AH133" s="5"/>
      <c r="AI133" s="5"/>
      <c r="AJ133" s="5"/>
      <c r="AK133" s="5"/>
    </row>
    <row r="134" spans="2:37" ht="16.149999999999999" thickBot="1">
      <c r="B134" s="243" t="s">
        <v>1042</v>
      </c>
      <c r="C134" s="18" t="s">
        <v>1033</v>
      </c>
      <c r="D134" s="243" t="s">
        <v>1034</v>
      </c>
      <c r="E134" s="18" t="s">
        <v>1123</v>
      </c>
      <c r="F134" s="18" t="s">
        <v>1037</v>
      </c>
      <c r="G134" s="18" t="s">
        <v>1233</v>
      </c>
      <c r="H134" s="18" t="s">
        <v>1038</v>
      </c>
      <c r="I134" s="18" t="s">
        <v>1133</v>
      </c>
      <c r="AB134" s="258"/>
      <c r="AC134" s="258"/>
      <c r="AD134" s="5"/>
      <c r="AE134" s="5"/>
      <c r="AF134" s="5"/>
      <c r="AG134" s="5"/>
      <c r="AH134" s="5"/>
      <c r="AI134" s="5"/>
      <c r="AJ134" s="5"/>
      <c r="AK134" s="5"/>
    </row>
    <row r="135" spans="2:37">
      <c r="B135" s="334" t="s">
        <v>796</v>
      </c>
      <c r="C135" s="335" t="s">
        <v>134</v>
      </c>
      <c r="D135" s="335" t="s">
        <v>1031</v>
      </c>
      <c r="E135" s="335">
        <v>23492450.300000001</v>
      </c>
      <c r="F135" s="174">
        <f>F119*$E$159</f>
        <v>35353394.250410505</v>
      </c>
      <c r="G135" s="174"/>
      <c r="H135" s="336">
        <f>SUM(E135:G135)</f>
        <v>58845844.550410509</v>
      </c>
      <c r="I135" s="331">
        <f>H135/SUM(H135:H137)</f>
        <v>0.65028506584221812</v>
      </c>
      <c r="AB135" s="258"/>
      <c r="AC135" s="258"/>
      <c r="AD135" s="5"/>
      <c r="AE135" s="5"/>
      <c r="AF135" s="5"/>
      <c r="AG135" s="5"/>
      <c r="AH135" s="5"/>
      <c r="AI135" s="5"/>
      <c r="AJ135" s="5"/>
      <c r="AK135" s="5"/>
    </row>
    <row r="136" spans="2:37">
      <c r="B136" s="337" t="s">
        <v>796</v>
      </c>
      <c r="C136" s="224" t="s">
        <v>134</v>
      </c>
      <c r="D136" s="224" t="s">
        <v>1032</v>
      </c>
      <c r="E136" s="224">
        <v>30465517.300000001</v>
      </c>
      <c r="F136" s="177">
        <v>0</v>
      </c>
      <c r="G136" s="177"/>
      <c r="H136" s="338">
        <f>E136+F136</f>
        <v>30465517.300000001</v>
      </c>
      <c r="I136" s="332">
        <f>H136/SUM(H135:H137)</f>
        <v>0.33666388977349687</v>
      </c>
      <c r="AB136" s="258"/>
      <c r="AC136" s="258"/>
      <c r="AD136" s="5"/>
      <c r="AE136" s="5"/>
      <c r="AF136" s="5"/>
      <c r="AG136" s="5"/>
      <c r="AH136" s="5"/>
      <c r="AI136" s="5"/>
      <c r="AJ136" s="5"/>
      <c r="AK136" s="5"/>
    </row>
    <row r="137" spans="2:37" ht="14.65" thickBot="1">
      <c r="B137" s="339" t="s">
        <v>796</v>
      </c>
      <c r="C137" s="340" t="s">
        <v>823</v>
      </c>
      <c r="D137" s="340" t="s">
        <v>1031</v>
      </c>
      <c r="E137" s="340">
        <v>859625.6</v>
      </c>
      <c r="F137" s="182">
        <f>G119*$E$159</f>
        <v>321394.49318555009</v>
      </c>
      <c r="G137" s="182"/>
      <c r="H137" s="330">
        <f>SUM(E137:G137)</f>
        <v>1181020.0931855501</v>
      </c>
      <c r="I137" s="333">
        <f>H137/SUM(H135:H137)</f>
        <v>1.3051044384285082E-2</v>
      </c>
      <c r="AB137" s="258"/>
      <c r="AC137" s="258"/>
      <c r="AE137" s="5"/>
      <c r="AF137" s="5"/>
      <c r="AG137" s="5"/>
      <c r="AH137" s="5"/>
      <c r="AI137" s="5"/>
      <c r="AJ137" s="5"/>
      <c r="AK137" s="5"/>
    </row>
    <row r="138" spans="2:37" ht="18" customHeight="1">
      <c r="B138" s="247" t="s">
        <v>814</v>
      </c>
      <c r="C138" s="224" t="s">
        <v>523</v>
      </c>
      <c r="D138" s="224" t="s">
        <v>572</v>
      </c>
      <c r="E138" s="224">
        <v>34440884.100000001</v>
      </c>
      <c r="F138" s="177">
        <v>0</v>
      </c>
      <c r="H138" s="177">
        <f>SUM(E138:G138)</f>
        <v>34440884.100000001</v>
      </c>
      <c r="I138" s="254">
        <f>H138/SUM(H138:H141)</f>
        <v>0.21007647489274731</v>
      </c>
      <c r="AB138" s="258"/>
      <c r="AC138" s="258"/>
      <c r="AE138" s="5"/>
      <c r="AF138" s="5"/>
      <c r="AG138" s="5"/>
      <c r="AH138" s="5"/>
      <c r="AI138" s="5"/>
      <c r="AJ138" s="5"/>
      <c r="AK138" s="5"/>
    </row>
    <row r="139" spans="2:37">
      <c r="B139" s="247" t="s">
        <v>814</v>
      </c>
      <c r="C139" s="224" t="s">
        <v>523</v>
      </c>
      <c r="D139" s="224" t="s">
        <v>1030</v>
      </c>
      <c r="E139" s="224">
        <v>80485673.700000003</v>
      </c>
      <c r="F139" s="177">
        <v>0</v>
      </c>
      <c r="H139" s="177">
        <f t="shared" ref="H139:H158" si="90">SUM(E139:G139)</f>
        <v>80485673.700000003</v>
      </c>
      <c r="I139" s="255">
        <f>H139/SUM(H138:H141)</f>
        <v>0.49093242093236228</v>
      </c>
      <c r="AB139" s="258"/>
      <c r="AC139" s="258"/>
      <c r="AD139" s="5"/>
      <c r="AE139" s="5"/>
      <c r="AF139" s="5"/>
      <c r="AG139" s="5"/>
      <c r="AH139" s="5"/>
      <c r="AI139" s="5"/>
      <c r="AJ139" s="5"/>
      <c r="AK139" s="5"/>
    </row>
    <row r="140" spans="2:37">
      <c r="B140" s="247" t="s">
        <v>814</v>
      </c>
      <c r="C140" s="224" t="s">
        <v>523</v>
      </c>
      <c r="D140" s="224" t="s">
        <v>1031</v>
      </c>
      <c r="E140" s="224">
        <v>6297621.7000000002</v>
      </c>
      <c r="F140" s="5">
        <f>C119*$E$159</f>
        <v>1928366.9591133003</v>
      </c>
      <c r="G140" s="5">
        <f>(E157*BG106)</f>
        <v>0</v>
      </c>
      <c r="H140" s="177">
        <f t="shared" si="90"/>
        <v>8225988.659113301</v>
      </c>
      <c r="I140" s="255">
        <f>H140/SUM(H138:H141)</f>
        <v>5.0175445409493404E-2</v>
      </c>
      <c r="AB140" s="258"/>
      <c r="AC140" s="258"/>
      <c r="AE140" s="5"/>
      <c r="AF140" s="5"/>
      <c r="AG140" s="5"/>
      <c r="AH140" s="5"/>
      <c r="AI140" s="5"/>
      <c r="AJ140" s="5"/>
      <c r="AK140" s="5"/>
    </row>
    <row r="141" spans="2:37" ht="14.65" thickBot="1">
      <c r="B141" s="247" t="s">
        <v>814</v>
      </c>
      <c r="C141" s="224" t="s">
        <v>523</v>
      </c>
      <c r="D141" s="224" t="s">
        <v>1032</v>
      </c>
      <c r="E141" s="224">
        <v>40791960.5</v>
      </c>
      <c r="F141" s="177">
        <v>0</v>
      </c>
      <c r="H141" s="177">
        <f t="shared" si="90"/>
        <v>40791960.5</v>
      </c>
      <c r="I141" s="256">
        <f>H141/SUM(H138:H141)</f>
        <v>0.24881565876539707</v>
      </c>
      <c r="N141" s="2" t="s">
        <v>1136</v>
      </c>
      <c r="O141" s="8"/>
      <c r="P141" s="8"/>
      <c r="Q141" s="8"/>
      <c r="R141" s="8"/>
      <c r="S141" s="8"/>
      <c r="T141" s="8"/>
      <c r="AB141" s="258"/>
      <c r="AC141" s="258"/>
      <c r="AE141" s="5"/>
      <c r="AF141" s="5"/>
      <c r="AG141" s="5"/>
      <c r="AH141" s="5"/>
      <c r="AI141" s="5"/>
      <c r="AJ141" s="5"/>
      <c r="AK141" s="5"/>
    </row>
    <row r="142" spans="2:37">
      <c r="B142" s="341" t="s">
        <v>340</v>
      </c>
      <c r="C142" s="335" t="s">
        <v>820</v>
      </c>
      <c r="D142" s="335" t="s">
        <v>572</v>
      </c>
      <c r="E142" s="335">
        <v>5363798.5999999996</v>
      </c>
      <c r="F142" s="174">
        <v>0</v>
      </c>
      <c r="G142" s="174"/>
      <c r="H142" s="336">
        <f t="shared" si="90"/>
        <v>5363798.5999999996</v>
      </c>
      <c r="I142" s="331">
        <f>H142/SUM(H142:H145)</f>
        <v>5.4134944450485349E-3</v>
      </c>
    </row>
    <row r="143" spans="2:37">
      <c r="B143" s="205" t="s">
        <v>340</v>
      </c>
      <c r="C143" s="224" t="s">
        <v>820</v>
      </c>
      <c r="D143" s="224" t="s">
        <v>1030</v>
      </c>
      <c r="E143" s="224">
        <v>3842604</v>
      </c>
      <c r="F143" s="177">
        <v>0</v>
      </c>
      <c r="G143" s="177"/>
      <c r="H143" s="338">
        <f t="shared" si="90"/>
        <v>3842604</v>
      </c>
      <c r="I143" s="332">
        <f>H143/SUM(H142:H145)</f>
        <v>3.8782059058893974E-3</v>
      </c>
      <c r="N143" s="5" t="s">
        <v>1031</v>
      </c>
      <c r="P143" s="5"/>
      <c r="Q143" s="5"/>
      <c r="R143" s="5"/>
      <c r="S143" s="5"/>
      <c r="T143" s="5"/>
    </row>
    <row r="144" spans="2:37">
      <c r="B144" s="205" t="s">
        <v>340</v>
      </c>
      <c r="C144" s="224" t="s">
        <v>820</v>
      </c>
      <c r="D144" s="224" t="s">
        <v>1031</v>
      </c>
      <c r="E144" s="224">
        <v>4694616.4000000004</v>
      </c>
      <c r="F144" s="177">
        <f>E119*$E$159</f>
        <v>972861130.87266004</v>
      </c>
      <c r="G144" s="177"/>
      <c r="H144" s="338">
        <f t="shared" si="90"/>
        <v>977555747.27266002</v>
      </c>
      <c r="I144" s="332">
        <f>H144/SUM(H142:H145)</f>
        <v>0.98661284701961316</v>
      </c>
      <c r="N144" s="5" t="s">
        <v>1119</v>
      </c>
      <c r="P144" s="5" t="s">
        <v>140</v>
      </c>
      <c r="Q144" s="5">
        <f>F157*1000000</f>
        <v>0</v>
      </c>
      <c r="R144" s="5"/>
      <c r="S144" s="5"/>
      <c r="T144" s="5"/>
    </row>
    <row r="145" spans="2:20" ht="14.65" thickBot="1">
      <c r="B145" s="206" t="s">
        <v>340</v>
      </c>
      <c r="C145" s="340" t="s">
        <v>820</v>
      </c>
      <c r="D145" s="340" t="s">
        <v>1032</v>
      </c>
      <c r="E145" s="340">
        <v>4057856.4</v>
      </c>
      <c r="F145" s="182">
        <v>0</v>
      </c>
      <c r="G145" s="182"/>
      <c r="H145" s="330">
        <f t="shared" si="90"/>
        <v>4057856.4</v>
      </c>
      <c r="I145" s="333">
        <f>H145/SUM(H142:H145)</f>
        <v>4.0954526294489594E-3</v>
      </c>
      <c r="N145" s="5" t="s">
        <v>1111</v>
      </c>
      <c r="O145" s="5">
        <f>E157*1000000</f>
        <v>1139298177300000</v>
      </c>
      <c r="P145" s="5"/>
      <c r="Q145" s="5"/>
      <c r="R145" s="5"/>
      <c r="S145" s="5"/>
      <c r="T145" s="5"/>
    </row>
    <row r="146" spans="2:20">
      <c r="B146" s="247" t="s">
        <v>797</v>
      </c>
      <c r="C146" s="224" t="s">
        <v>821</v>
      </c>
      <c r="D146" s="224" t="s">
        <v>1030</v>
      </c>
      <c r="E146" s="224">
        <v>26142770.100000001</v>
      </c>
      <c r="F146" s="177">
        <v>0</v>
      </c>
      <c r="H146" s="177">
        <f t="shared" si="90"/>
        <v>26142770.100000001</v>
      </c>
      <c r="I146" s="254">
        <f>H146/SUM(H146:H148)</f>
        <v>1.1630262629395578E-2</v>
      </c>
      <c r="O146" s="5" t="s">
        <v>1112</v>
      </c>
      <c r="P146" s="5" t="s">
        <v>1108</v>
      </c>
      <c r="Q146" s="5">
        <f>O145*J119</f>
        <v>257475344047639.28</v>
      </c>
      <c r="R146" s="5"/>
      <c r="S146" s="5"/>
      <c r="T146" s="5"/>
    </row>
    <row r="147" spans="2:20">
      <c r="B147" s="247" t="s">
        <v>797</v>
      </c>
      <c r="C147" s="224" t="s">
        <v>821</v>
      </c>
      <c r="D147" s="224" t="s">
        <v>1031</v>
      </c>
      <c r="E147" s="224">
        <v>968665778.70000005</v>
      </c>
      <c r="F147" s="5">
        <f>D119*$E$159</f>
        <v>147520072.3721675</v>
      </c>
      <c r="H147" s="177">
        <f t="shared" si="90"/>
        <v>1116185851.0721676</v>
      </c>
      <c r="I147" s="255">
        <f>H147/SUM(H146:H148)</f>
        <v>0.49656308576055336</v>
      </c>
      <c r="P147" s="5" t="s">
        <v>1110</v>
      </c>
      <c r="Q147" s="5">
        <f>O145*I119</f>
        <v>403136278121538.5</v>
      </c>
      <c r="R147" s="5"/>
      <c r="S147" s="5"/>
      <c r="T147" s="5"/>
    </row>
    <row r="148" spans="2:20" ht="14.65" thickBot="1">
      <c r="B148" s="247" t="s">
        <v>797</v>
      </c>
      <c r="C148" s="224" t="s">
        <v>821</v>
      </c>
      <c r="D148" s="224" t="s">
        <v>1032</v>
      </c>
      <c r="E148" s="224">
        <v>1105494229.7</v>
      </c>
      <c r="F148" s="177">
        <v>0</v>
      </c>
      <c r="H148" s="177">
        <f t="shared" si="90"/>
        <v>1105494229.7</v>
      </c>
      <c r="I148" s="256">
        <f>H148/SUM(H146:H148)</f>
        <v>0.49180665161005116</v>
      </c>
      <c r="P148" s="5" t="s">
        <v>1113</v>
      </c>
      <c r="Q148" s="5">
        <f>O145*K119</f>
        <v>673304068706737.5</v>
      </c>
      <c r="R148" s="5"/>
      <c r="S148" s="5"/>
      <c r="T148" s="5"/>
    </row>
    <row r="149" spans="2:20">
      <c r="B149" s="334" t="s">
        <v>1043</v>
      </c>
      <c r="C149" s="335" t="s">
        <v>819</v>
      </c>
      <c r="D149" s="335" t="s">
        <v>572</v>
      </c>
      <c r="E149" s="335">
        <v>21067721.100000001</v>
      </c>
      <c r="F149" s="174">
        <v>0</v>
      </c>
      <c r="G149" s="174">
        <f>-C308</f>
        <v>-2106106.9516799999</v>
      </c>
      <c r="H149" s="336">
        <f>SUM(E149:G149)</f>
        <v>18961614.148320001</v>
      </c>
      <c r="I149" s="331">
        <f>H149/SUM(H149:H152)</f>
        <v>5.6424355126913107E-2</v>
      </c>
      <c r="P149" s="5"/>
      <c r="Q149" s="5"/>
      <c r="R149" s="5"/>
      <c r="S149" s="5"/>
      <c r="T149" s="5"/>
    </row>
    <row r="150" spans="2:20">
      <c r="B150" s="337" t="s">
        <v>1043</v>
      </c>
      <c r="C150" s="224" t="s">
        <v>819</v>
      </c>
      <c r="D150" s="224" t="s">
        <v>1030</v>
      </c>
      <c r="E150" s="224">
        <v>19051208.699999999</v>
      </c>
      <c r="F150" s="177">
        <v>0</v>
      </c>
      <c r="G150" s="177"/>
      <c r="H150" s="338">
        <f t="shared" si="90"/>
        <v>19051208.699999999</v>
      </c>
      <c r="I150" s="332">
        <f>H150/SUM(H149:H152)</f>
        <v>5.6690962956915635E-2</v>
      </c>
      <c r="Q150" s="5"/>
      <c r="R150" s="5"/>
      <c r="S150" s="5"/>
    </row>
    <row r="151" spans="2:20">
      <c r="B151" s="337" t="s">
        <v>1043</v>
      </c>
      <c r="C151" s="224" t="s">
        <v>819</v>
      </c>
      <c r="D151" s="224" t="s">
        <v>1031</v>
      </c>
      <c r="E151" s="224">
        <v>204905921.09999999</v>
      </c>
      <c r="F151" s="177">
        <v>0</v>
      </c>
      <c r="G151" s="177"/>
      <c r="H151" s="338">
        <f t="shared" si="90"/>
        <v>204905921.09999999</v>
      </c>
      <c r="I151" s="332">
        <f>H151/SUM(H149:H152)</f>
        <v>0.60974157417806141</v>
      </c>
      <c r="Q151" s="5"/>
      <c r="R151" s="5"/>
      <c r="S151" s="5"/>
    </row>
    <row r="152" spans="2:20" ht="14.65" thickBot="1">
      <c r="B152" s="339" t="s">
        <v>1043</v>
      </c>
      <c r="C152" s="340" t="s">
        <v>819</v>
      </c>
      <c r="D152" s="340" t="s">
        <v>1032</v>
      </c>
      <c r="E152" s="340">
        <v>93134970.900000006</v>
      </c>
      <c r="F152" s="182">
        <v>0</v>
      </c>
      <c r="G152" s="182"/>
      <c r="H152" s="330">
        <f t="shared" si="90"/>
        <v>93134970.900000006</v>
      </c>
      <c r="I152" s="333">
        <f>H152/SUM(H149:H152)</f>
        <v>0.27714310773810985</v>
      </c>
      <c r="P152" s="5"/>
      <c r="Q152" s="5"/>
      <c r="R152" s="5"/>
      <c r="S152" s="5"/>
    </row>
    <row r="153" spans="2:20">
      <c r="B153" s="247" t="s">
        <v>1044</v>
      </c>
      <c r="C153" s="224" t="s">
        <v>822</v>
      </c>
      <c r="D153" s="224" t="s">
        <v>572</v>
      </c>
      <c r="E153" s="224">
        <v>0</v>
      </c>
      <c r="F153" s="177">
        <v>0</v>
      </c>
      <c r="H153" s="177">
        <f t="shared" si="90"/>
        <v>0</v>
      </c>
      <c r="I153" s="254">
        <f>H153/SUM(H153:H155)</f>
        <v>0</v>
      </c>
      <c r="P153" s="5"/>
      <c r="R153" s="5"/>
      <c r="S153" s="5"/>
    </row>
    <row r="154" spans="2:20">
      <c r="B154" s="247" t="s">
        <v>1044</v>
      </c>
      <c r="C154" s="224" t="s">
        <v>822</v>
      </c>
      <c r="D154" s="224" t="s">
        <v>1031</v>
      </c>
      <c r="E154" s="224">
        <v>536765.1</v>
      </c>
      <c r="F154" s="5">
        <f>B119*$E$159</f>
        <v>17676697.125205252</v>
      </c>
      <c r="G154" s="5">
        <f>E157*BJ106</f>
        <v>9670435.4571883269</v>
      </c>
      <c r="H154" s="177">
        <f t="shared" si="90"/>
        <v>27883897.682393581</v>
      </c>
      <c r="I154" s="255">
        <f>H154/SUM(H153:H155)</f>
        <v>0.58467442913139001</v>
      </c>
      <c r="P154" s="5"/>
      <c r="R154" s="5"/>
      <c r="S154" s="5"/>
    </row>
    <row r="155" spans="2:20" ht="14.65" thickBot="1">
      <c r="B155" s="247" t="s">
        <v>1044</v>
      </c>
      <c r="C155" s="224" t="s">
        <v>822</v>
      </c>
      <c r="D155" s="224" t="s">
        <v>1032</v>
      </c>
      <c r="E155" s="224">
        <v>19807426.399999999</v>
      </c>
      <c r="F155" s="177">
        <v>0</v>
      </c>
      <c r="H155" s="177">
        <f t="shared" si="90"/>
        <v>19807426.399999999</v>
      </c>
      <c r="I155" s="256">
        <f>H155/SUM(H153:H155)</f>
        <v>0.41532557086860994</v>
      </c>
      <c r="N155" s="5">
        <f>SUM(H135:H155)</f>
        <v>3876824784.9782505</v>
      </c>
      <c r="P155" s="5">
        <f>Q148/((H135+H137)*1000000)</f>
        <v>11.21671226215825</v>
      </c>
      <c r="Q155" s="5" t="s">
        <v>1122</v>
      </c>
      <c r="R155" s="5"/>
      <c r="S155" s="5"/>
      <c r="T155" s="5"/>
    </row>
    <row r="156" spans="2:20">
      <c r="B156" s="345"/>
      <c r="C156" s="346" t="s">
        <v>784</v>
      </c>
      <c r="D156" s="346" t="s">
        <v>572</v>
      </c>
      <c r="E156" s="346">
        <v>10136165.4</v>
      </c>
      <c r="F156" s="346">
        <v>0</v>
      </c>
      <c r="G156" s="346"/>
      <c r="H156" s="336">
        <f t="shared" si="90"/>
        <v>10136165.4</v>
      </c>
      <c r="I156" s="342">
        <f>H156/SUM(H156:H158)</f>
        <v>8.4836595841157846E-3</v>
      </c>
      <c r="P156" s="5">
        <f>P155*C192</f>
        <v>102.67821388483766</v>
      </c>
      <c r="Q156" s="5" t="s">
        <v>1229</v>
      </c>
    </row>
    <row r="157" spans="2:20">
      <c r="B157" s="347"/>
      <c r="C157" s="290" t="s">
        <v>784</v>
      </c>
      <c r="D157" s="290" t="s">
        <v>1031</v>
      </c>
      <c r="E157" s="290">
        <v>1139298177.3</v>
      </c>
      <c r="F157" s="294">
        <f>E159*H119</f>
        <v>0</v>
      </c>
      <c r="G157" s="290">
        <f>-G154-G140</f>
        <v>-9670435.4571883269</v>
      </c>
      <c r="H157" s="338">
        <f t="shared" si="90"/>
        <v>1129627741.8428116</v>
      </c>
      <c r="I157" s="343">
        <f>H157/SUM(H156:H158)</f>
        <v>0.94546377652517777</v>
      </c>
      <c r="J157" s="5" t="s">
        <v>1247</v>
      </c>
      <c r="P157" s="5"/>
    </row>
    <row r="158" spans="2:20" ht="14.65" thickBot="1">
      <c r="B158" s="348"/>
      <c r="C158" s="349" t="s">
        <v>784</v>
      </c>
      <c r="D158" s="349" t="s">
        <v>1032</v>
      </c>
      <c r="E158" s="349">
        <v>55023000.399999999</v>
      </c>
      <c r="F158" s="349">
        <v>0</v>
      </c>
      <c r="G158" s="349"/>
      <c r="H158" s="330">
        <f t="shared" si="90"/>
        <v>55023000.399999999</v>
      </c>
      <c r="I158" s="344">
        <f>H158/SUM(H156:H158)</f>
        <v>4.6052563890706305E-2</v>
      </c>
    </row>
    <row r="159" spans="2:20">
      <c r="C159" s="320" t="s">
        <v>1162</v>
      </c>
      <c r="E159" s="5">
        <f>SUM(E137,E135,E140,E144,E147,E151,E154,E157)</f>
        <v>2348750956.1999998</v>
      </c>
    </row>
    <row r="160" spans="2:20">
      <c r="C160" s="146" t="s">
        <v>1184</v>
      </c>
      <c r="E160" s="5">
        <f>SUM(E138,E142,E149,E153,E156)</f>
        <v>71008569.200000003</v>
      </c>
    </row>
    <row r="162" spans="1:14">
      <c r="B162" s="5" t="s">
        <v>1221</v>
      </c>
    </row>
    <row r="163" spans="1:14">
      <c r="B163" s="5" t="s">
        <v>1040</v>
      </c>
    </row>
    <row r="164" spans="1:14">
      <c r="B164" s="5" t="s">
        <v>1125</v>
      </c>
    </row>
    <row r="165" spans="1:14">
      <c r="B165" s="5" t="s">
        <v>1130</v>
      </c>
    </row>
    <row r="166" spans="1:14">
      <c r="B166" s="5" t="s">
        <v>1166</v>
      </c>
    </row>
    <row r="174" spans="1:14" s="8" customFormat="1">
      <c r="A174" s="2" t="s">
        <v>1135</v>
      </c>
    </row>
    <row r="176" spans="1:14">
      <c r="F176"/>
      <c r="G176"/>
      <c r="H176"/>
      <c r="I176"/>
      <c r="J176"/>
      <c r="K176"/>
      <c r="L176"/>
      <c r="M176"/>
      <c r="N176"/>
    </row>
    <row r="177" spans="2:20">
      <c r="F177"/>
      <c r="G177"/>
      <c r="H177"/>
      <c r="I177"/>
      <c r="J177"/>
      <c r="K177"/>
      <c r="L177"/>
      <c r="M177"/>
      <c r="N177"/>
    </row>
    <row r="178" spans="2:20" ht="15.75">
      <c r="B178" s="405"/>
      <c r="C178" s="104"/>
      <c r="D178" s="405"/>
      <c r="E178" s="104"/>
      <c r="F178" s="405"/>
      <c r="G178" s="104"/>
      <c r="H178" s="104"/>
      <c r="I178" s="104"/>
      <c r="J178" s="104"/>
      <c r="K178" s="104"/>
      <c r="L178" s="104"/>
      <c r="M178" s="104"/>
      <c r="N178"/>
    </row>
    <row r="179" spans="2:20" ht="15.75">
      <c r="B179" s="405"/>
      <c r="C179" s="405"/>
      <c r="D179" s="405"/>
      <c r="E179" s="104"/>
      <c r="F179" s="104"/>
      <c r="G179" s="104"/>
      <c r="H179" s="104"/>
      <c r="I179" s="104"/>
      <c r="J179" s="104"/>
      <c r="K179" s="104"/>
      <c r="L179" s="104"/>
      <c r="M179" s="104"/>
      <c r="N179"/>
    </row>
    <row r="180" spans="2:20">
      <c r="B180" s="104"/>
      <c r="C180" s="104"/>
      <c r="D180" s="104"/>
      <c r="E180" s="104"/>
      <c r="F180" s="104"/>
      <c r="G180" s="104"/>
      <c r="H180" s="104"/>
      <c r="I180" s="104"/>
      <c r="J180" s="104"/>
      <c r="K180" s="104"/>
      <c r="L180" s="104"/>
      <c r="M180" s="104"/>
      <c r="N180"/>
    </row>
    <row r="181" spans="2:20">
      <c r="B181" s="104"/>
      <c r="C181" s="104"/>
      <c r="D181" s="104"/>
      <c r="E181" s="104"/>
      <c r="F181" s="104"/>
      <c r="G181" s="104"/>
      <c r="H181" s="104"/>
      <c r="I181" s="104"/>
      <c r="J181" s="104"/>
      <c r="K181" s="104"/>
      <c r="L181" s="104"/>
      <c r="M181" s="104"/>
      <c r="N181"/>
    </row>
    <row r="182" spans="2:20">
      <c r="B182" s="104"/>
      <c r="C182" s="104"/>
      <c r="D182" s="104"/>
      <c r="E182" s="104"/>
      <c r="F182" s="104"/>
      <c r="G182" s="104"/>
      <c r="H182" s="104"/>
      <c r="I182" s="104"/>
      <c r="J182" s="104"/>
      <c r="K182" s="104"/>
      <c r="L182" s="104"/>
      <c r="M182" s="104"/>
      <c r="N182"/>
    </row>
    <row r="183" spans="2:20">
      <c r="B183" s="104" t="s">
        <v>1120</v>
      </c>
      <c r="C183" s="104"/>
      <c r="D183" s="104"/>
      <c r="E183" s="104"/>
      <c r="F183" s="104"/>
      <c r="G183" s="104"/>
      <c r="H183" s="104"/>
      <c r="I183" s="104"/>
      <c r="J183" s="104"/>
      <c r="K183" s="104"/>
      <c r="L183" s="104"/>
      <c r="M183" s="104"/>
      <c r="N183"/>
    </row>
    <row r="184" spans="2:20">
      <c r="B184" s="104"/>
      <c r="C184" s="104" t="s">
        <v>134</v>
      </c>
      <c r="D184" s="104" t="s">
        <v>1046</v>
      </c>
      <c r="E184" s="104" t="s">
        <v>1013</v>
      </c>
      <c r="F184" s="104" t="s">
        <v>1045</v>
      </c>
      <c r="G184" s="104" t="s">
        <v>1124</v>
      </c>
      <c r="H184" s="104" t="s">
        <v>1118</v>
      </c>
      <c r="I184" s="104" t="s">
        <v>342</v>
      </c>
      <c r="J184" s="104" t="s">
        <v>1108</v>
      </c>
      <c r="K184" s="104" t="s">
        <v>1109</v>
      </c>
      <c r="L184" s="104"/>
      <c r="M184" s="104"/>
      <c r="N184"/>
    </row>
    <row r="185" spans="2:20">
      <c r="B185" s="104"/>
      <c r="C185" s="104">
        <f>'TX SEDS'!B130</f>
        <v>13.8</v>
      </c>
      <c r="D185" s="406">
        <f>'TX SEDS'!D130+'TX SEDS'!F130+('TX SEDS'!H130*1/'TX Calculations'!P191)</f>
        <v>736.23627388875093</v>
      </c>
      <c r="E185" s="406">
        <f>'TX SEDS'!E130+('TX SEDS'!H130*P189/P191)</f>
        <v>2454.4637261112493</v>
      </c>
      <c r="F185" s="406">
        <f>'TX SEDS'!C130</f>
        <v>2129.1</v>
      </c>
      <c r="G185" s="104">
        <f>'TX SEDS'!O130</f>
        <v>386.9</v>
      </c>
      <c r="H185" s="104">
        <f>'TX SEDS'!Q130</f>
        <v>739.5</v>
      </c>
      <c r="I185" s="104">
        <f>'TX SEDS'!G130</f>
        <v>12.6</v>
      </c>
      <c r="J185" s="104">
        <f>'TX SEDS'!K130</f>
        <v>69</v>
      </c>
      <c r="K185" s="104">
        <f>'TX SEDS'!L130</f>
        <v>20.6</v>
      </c>
      <c r="L185" s="104"/>
      <c r="M185" s="104"/>
      <c r="N185"/>
    </row>
    <row r="186" spans="2:20">
      <c r="B186" s="104"/>
      <c r="C186" s="104"/>
      <c r="D186" s="104"/>
      <c r="E186" s="104"/>
      <c r="F186" s="104"/>
      <c r="G186" s="104"/>
      <c r="H186" s="104"/>
      <c r="I186" s="104"/>
      <c r="J186" s="104"/>
      <c r="K186" s="104"/>
      <c r="L186" s="104"/>
      <c r="M186" s="104"/>
      <c r="N186"/>
      <c r="P186" s="196" t="s">
        <v>1251</v>
      </c>
      <c r="Q186" s="196"/>
      <c r="R186" s="196"/>
      <c r="S186" s="196"/>
      <c r="T186" s="196"/>
    </row>
    <row r="187" spans="2:20">
      <c r="B187" s="407" t="s">
        <v>1114</v>
      </c>
      <c r="C187" s="408"/>
      <c r="D187" s="408"/>
      <c r="E187" s="408"/>
      <c r="F187" s="408"/>
      <c r="G187" s="408"/>
      <c r="H187" s="408"/>
      <c r="I187" s="408"/>
      <c r="J187" s="408"/>
      <c r="K187" s="408"/>
      <c r="L187" s="408"/>
      <c r="M187" s="104"/>
      <c r="N187"/>
    </row>
    <row r="188" spans="2:20">
      <c r="B188" s="104"/>
      <c r="C188" s="104" t="s">
        <v>134</v>
      </c>
      <c r="D188" s="104" t="s">
        <v>1046</v>
      </c>
      <c r="E188" s="104" t="s">
        <v>1013</v>
      </c>
      <c r="F188" s="104" t="s">
        <v>1045</v>
      </c>
      <c r="G188" s="104" t="s">
        <v>1124</v>
      </c>
      <c r="H188" s="104" t="s">
        <v>1118</v>
      </c>
      <c r="I188" s="104" t="s">
        <v>342</v>
      </c>
      <c r="J188" s="104" t="s">
        <v>1108</v>
      </c>
      <c r="K188" s="104" t="s">
        <v>1109</v>
      </c>
      <c r="L188" s="104"/>
      <c r="M188" s="104"/>
      <c r="N188" s="41"/>
      <c r="O188" s="26"/>
      <c r="P188" s="26" t="s">
        <v>1252</v>
      </c>
      <c r="Q188" s="26"/>
    </row>
    <row r="189" spans="2:20">
      <c r="B189" s="104" t="s">
        <v>572</v>
      </c>
      <c r="C189" s="104">
        <f>C185*0</f>
        <v>0</v>
      </c>
      <c r="D189" s="104">
        <f>D185*I138</f>
        <v>154.66592110672002</v>
      </c>
      <c r="E189" s="104">
        <f>E185*I142</f>
        <v>13.287225746876377</v>
      </c>
      <c r="F189" s="104">
        <f>F185*0</f>
        <v>0</v>
      </c>
      <c r="G189" s="104">
        <f>G185*I149</f>
        <v>21.830582998602679</v>
      </c>
      <c r="H189" s="104">
        <f>(G189/$G$185)*'TX SEDS'!$Q$130</f>
        <v>41.725810616352241</v>
      </c>
      <c r="I189" s="104">
        <f>I185*I153</f>
        <v>0</v>
      </c>
      <c r="J189" s="104">
        <v>0</v>
      </c>
      <c r="K189" s="104">
        <v>0</v>
      </c>
      <c r="L189" s="104"/>
      <c r="M189" s="104"/>
      <c r="O189" s="261"/>
      <c r="P189">
        <f>SUM('NREL by NAICS'!C128,'NREL by NAICS'!G133)/SUM('NREL by NAICS'!O49:O79,'NREL by NAICS'!R38,'NREL by NAICS'!R33,'NREL by NAICS'!R28,'NREL by NAICS'!R23,'NREL by NAICS'!R18,'NREL by NAICS'!R9,'NREL by NAICS'!R4)</f>
        <v>1.1681726291662211</v>
      </c>
      <c r="Q189" s="238" t="s">
        <v>1253</v>
      </c>
      <c r="R189" t="s">
        <v>1254</v>
      </c>
    </row>
    <row r="190" spans="2:20">
      <c r="B190" s="104" t="s">
        <v>1030</v>
      </c>
      <c r="C190" s="104">
        <v>0</v>
      </c>
      <c r="D190" s="104">
        <f>I139*D185</f>
        <v>361.44225631842625</v>
      </c>
      <c r="E190" s="104">
        <f>I143*E185</f>
        <v>9.5189157183959434</v>
      </c>
      <c r="F190" s="104">
        <f>I146*F185</f>
        <v>24.761992164246124</v>
      </c>
      <c r="G190" s="104">
        <f>I150*G185</f>
        <v>21.933733568030657</v>
      </c>
      <c r="H190" s="104">
        <f>(G190/$G$185)*'TX SEDS'!$Q$130</f>
        <v>41.922967106639113</v>
      </c>
      <c r="I190" s="104">
        <f>0</f>
        <v>0</v>
      </c>
      <c r="J190" s="104">
        <v>0</v>
      </c>
      <c r="K190" s="104">
        <v>0</v>
      </c>
      <c r="L190" s="104"/>
      <c r="M190" s="104"/>
      <c r="N190" s="151"/>
      <c r="O190"/>
    </row>
    <row r="191" spans="2:20">
      <c r="B191" s="104" t="s">
        <v>1032</v>
      </c>
      <c r="C191" s="104">
        <f>C185*I136</f>
        <v>4.645961678874257</v>
      </c>
      <c r="D191" s="104">
        <f>D185*I141</f>
        <v>183.18711349461088</v>
      </c>
      <c r="E191" s="104">
        <f>E185*I145</f>
        <v>10.052139920989406</v>
      </c>
      <c r="F191" s="104">
        <f>F185*I148</f>
        <v>1047.1055419429599</v>
      </c>
      <c r="G191" s="104">
        <f>G185*I152</f>
        <v>107.2266683838747</v>
      </c>
      <c r="H191" s="104">
        <f>(G191/$G$185)*'TX SEDS'!$Q$130</f>
        <v>204.94732817233225</v>
      </c>
      <c r="I191" s="104">
        <f>I185*I155</f>
        <v>5.233102192944485</v>
      </c>
      <c r="J191" s="104">
        <v>0</v>
      </c>
      <c r="K191" s="104">
        <v>0</v>
      </c>
      <c r="L191" s="104"/>
      <c r="M191" s="104"/>
      <c r="N191" s="151"/>
      <c r="O191"/>
      <c r="P191">
        <f>P189+1</f>
        <v>2.1681726291662211</v>
      </c>
      <c r="Q191" t="s">
        <v>1255</v>
      </c>
    </row>
    <row r="192" spans="2:20">
      <c r="B192" s="104" t="s">
        <v>1031</v>
      </c>
      <c r="C192" s="104">
        <f>C185*(I137+I135)</f>
        <v>9.1540383211257446</v>
      </c>
      <c r="D192" s="104">
        <f>D185*I140</f>
        <v>36.940982968993858</v>
      </c>
      <c r="E192" s="104">
        <f>E185*I144</f>
        <v>2421.6054447249876</v>
      </c>
      <c r="F192" s="104">
        <f>F185*I147</f>
        <v>1057.2324658927942</v>
      </c>
      <c r="G192" s="104">
        <f>G185*I151</f>
        <v>235.90901504949196</v>
      </c>
      <c r="H192" s="104">
        <f>(G192/$G$185)*'TX SEDS'!$Q$130</f>
        <v>450.9038941046764</v>
      </c>
      <c r="I192" s="104">
        <f>I185*I154</f>
        <v>7.3668978070555138</v>
      </c>
      <c r="J192" s="104">
        <f>J185</f>
        <v>69</v>
      </c>
      <c r="K192" s="104">
        <f>K185</f>
        <v>20.6</v>
      </c>
      <c r="L192" s="104"/>
      <c r="M192" s="104"/>
      <c r="N192"/>
    </row>
    <row r="193" spans="2:16">
      <c r="B193" s="104"/>
      <c r="C193" s="104"/>
      <c r="D193" s="104"/>
      <c r="E193" s="104"/>
      <c r="F193" s="104"/>
      <c r="G193" s="104"/>
      <c r="H193" s="104"/>
      <c r="I193" s="104"/>
      <c r="J193" s="104"/>
      <c r="K193" s="104"/>
      <c r="L193" s="104"/>
      <c r="M193" s="104"/>
      <c r="N193"/>
      <c r="P193" t="s">
        <v>1256</v>
      </c>
    </row>
    <row r="194" spans="2:16">
      <c r="B194" s="407" t="s">
        <v>1228</v>
      </c>
      <c r="C194" s="408"/>
      <c r="D194" s="408"/>
      <c r="E194" s="408"/>
      <c r="F194" s="408"/>
      <c r="G194" s="408"/>
      <c r="H194" s="408"/>
      <c r="I194" s="408"/>
      <c r="J194" s="408"/>
      <c r="K194" s="408"/>
      <c r="L194" s="408"/>
      <c r="M194" s="104"/>
      <c r="N194"/>
      <c r="P194" t="s">
        <v>1257</v>
      </c>
    </row>
    <row r="195" spans="2:16">
      <c r="B195" s="104"/>
      <c r="C195" s="104" t="s">
        <v>134</v>
      </c>
      <c r="D195" s="104" t="s">
        <v>1046</v>
      </c>
      <c r="E195" s="104" t="s">
        <v>1013</v>
      </c>
      <c r="F195" s="104" t="s">
        <v>1045</v>
      </c>
      <c r="G195" s="104" t="s">
        <v>1124</v>
      </c>
      <c r="H195" s="104" t="s">
        <v>1118</v>
      </c>
      <c r="I195" s="104" t="s">
        <v>342</v>
      </c>
      <c r="J195" s="104" t="s">
        <v>1128</v>
      </c>
      <c r="K195" s="104" t="s">
        <v>1129</v>
      </c>
      <c r="L195" s="104" t="s">
        <v>1121</v>
      </c>
      <c r="M195" s="104"/>
      <c r="N195"/>
      <c r="P195" t="s">
        <v>1258</v>
      </c>
    </row>
    <row r="196" spans="2:16">
      <c r="B196" s="104" t="s">
        <v>1031</v>
      </c>
      <c r="C196" s="104">
        <f t="shared" ref="C196:H196" si="91">C192</f>
        <v>9.1540383211257446</v>
      </c>
      <c r="D196" s="104">
        <f t="shared" si="91"/>
        <v>36.940982968993858</v>
      </c>
      <c r="E196" s="104">
        <f t="shared" si="91"/>
        <v>2421.6054447249876</v>
      </c>
      <c r="F196" s="104">
        <f t="shared" si="91"/>
        <v>1057.2324658927942</v>
      </c>
      <c r="G196" s="104">
        <f t="shared" si="91"/>
        <v>235.90901504949196</v>
      </c>
      <c r="H196" s="104">
        <f t="shared" si="91"/>
        <v>450.9038941046764</v>
      </c>
      <c r="I196" s="104">
        <f>I192*(SUM(E154:F154)/SUM(E154:G154))</f>
        <v>4.811978456314403</v>
      </c>
      <c r="J196" s="104">
        <f>J185</f>
        <v>69</v>
      </c>
      <c r="K196" s="104">
        <f>K185</f>
        <v>20.6</v>
      </c>
      <c r="L196" s="104">
        <f>P155*C192</f>
        <v>102.67821388483766</v>
      </c>
      <c r="M196" s="104"/>
      <c r="N196"/>
      <c r="P196" t="s">
        <v>1259</v>
      </c>
    </row>
    <row r="197" spans="2:16">
      <c r="B197" s="104"/>
      <c r="C197" s="104"/>
      <c r="D197" s="104"/>
      <c r="E197" s="104"/>
      <c r="F197" s="104"/>
      <c r="G197" s="104"/>
      <c r="H197" s="104"/>
      <c r="I197" s="104"/>
      <c r="J197" s="104"/>
      <c r="K197" s="104"/>
      <c r="L197" s="104"/>
      <c r="M197" s="104"/>
      <c r="N197"/>
    </row>
    <row r="198" spans="2:16">
      <c r="B198" s="41"/>
      <c r="C198" s="26"/>
      <c r="D198" s="26"/>
      <c r="E198" s="26"/>
      <c r="F198" s="26"/>
      <c r="G198" s="26"/>
      <c r="H198" s="26"/>
      <c r="I198" s="26"/>
      <c r="J198" s="26"/>
      <c r="K198" s="26"/>
      <c r="L198" s="26"/>
      <c r="M198"/>
      <c r="N198"/>
    </row>
    <row r="199" spans="2:16">
      <c r="B199" s="5" t="s">
        <v>1131</v>
      </c>
      <c r="C199" s="26"/>
      <c r="D199" s="26"/>
      <c r="E199" s="26"/>
      <c r="F199" s="26"/>
      <c r="G199" s="26"/>
      <c r="H199" s="367"/>
      <c r="I199" s="26"/>
      <c r="J199" s="26"/>
      <c r="K199" s="147"/>
      <c r="L199" s="147"/>
      <c r="M199"/>
      <c r="N199"/>
    </row>
    <row r="200" spans="2:16">
      <c r="B200" s="5" t="s">
        <v>1132</v>
      </c>
      <c r="C200" s="26"/>
      <c r="D200" s="26"/>
      <c r="E200" s="26"/>
      <c r="F200" s="26"/>
      <c r="G200" s="26"/>
      <c r="H200" s="367"/>
      <c r="I200" s="26"/>
      <c r="J200" s="26"/>
      <c r="K200" s="147"/>
      <c r="L200" s="147"/>
      <c r="M200"/>
      <c r="N200"/>
    </row>
    <row r="201" spans="2:16">
      <c r="B201" s="5" t="s">
        <v>1149</v>
      </c>
      <c r="F201"/>
      <c r="G201"/>
      <c r="H201"/>
      <c r="I201"/>
      <c r="J201"/>
      <c r="K201"/>
      <c r="L201"/>
      <c r="M201"/>
      <c r="N201"/>
    </row>
    <row r="202" spans="2:16">
      <c r="B202" s="5" t="s">
        <v>1150</v>
      </c>
      <c r="F202"/>
      <c r="G202"/>
      <c r="H202"/>
      <c r="I202"/>
      <c r="J202"/>
      <c r="K202"/>
      <c r="L202"/>
      <c r="M202"/>
      <c r="N202"/>
    </row>
    <row r="203" spans="2:16">
      <c r="B203" s="5" t="s">
        <v>1188</v>
      </c>
      <c r="H203"/>
      <c r="I203"/>
      <c r="J203"/>
      <c r="K203"/>
      <c r="L203"/>
      <c r="M203"/>
      <c r="N203"/>
    </row>
    <row r="204" spans="2:16">
      <c r="B204" s="5" t="s">
        <v>1190</v>
      </c>
      <c r="H204"/>
      <c r="I204"/>
      <c r="J204"/>
      <c r="K204"/>
      <c r="L204"/>
      <c r="M204"/>
      <c r="N204"/>
    </row>
    <row r="205" spans="2:16" s="5" customFormat="1">
      <c r="B205" s="151" t="s">
        <v>1237</v>
      </c>
    </row>
    <row r="206" spans="2:16" s="5" customFormat="1">
      <c r="B206" s="5" t="s">
        <v>1260</v>
      </c>
    </row>
    <row r="207" spans="2:16" s="5" customFormat="1"/>
    <row r="208" spans="2:16">
      <c r="H208"/>
      <c r="I208"/>
      <c r="J208"/>
      <c r="K208"/>
      <c r="L208"/>
      <c r="M208"/>
      <c r="N208"/>
    </row>
    <row r="209" spans="1:24" s="8" customFormat="1">
      <c r="A209" s="2" t="s">
        <v>1139</v>
      </c>
    </row>
    <row r="210" spans="1:24">
      <c r="A210" s="5" t="s">
        <v>1140</v>
      </c>
    </row>
    <row r="211" spans="1:24" ht="14.65" thickBot="1"/>
    <row r="212" spans="1:24">
      <c r="A212" s="446" t="s">
        <v>1291</v>
      </c>
      <c r="B212" s="445"/>
      <c r="C212" s="445"/>
      <c r="D212" s="454"/>
      <c r="E212" s="174"/>
      <c r="F212" s="388" t="s">
        <v>860</v>
      </c>
      <c r="G212" s="389"/>
      <c r="H212" s="388" t="s">
        <v>340</v>
      </c>
      <c r="I212" s="174"/>
      <c r="J212" s="174"/>
      <c r="K212" s="174"/>
      <c r="L212" s="336"/>
      <c r="N212" s="446" t="s">
        <v>1308</v>
      </c>
      <c r="O212" s="445"/>
      <c r="P212" s="445"/>
      <c r="Q212" s="174"/>
      <c r="R212" s="388" t="s">
        <v>860</v>
      </c>
      <c r="S212" s="389"/>
      <c r="T212" s="388" t="s">
        <v>340</v>
      </c>
      <c r="U212" s="174"/>
      <c r="V212" s="174"/>
      <c r="W212" s="174"/>
      <c r="X212" s="336"/>
    </row>
    <row r="213" spans="1:24" ht="15" customHeight="1">
      <c r="A213" s="205"/>
      <c r="B213" s="177"/>
      <c r="C213" s="317" t="s">
        <v>590</v>
      </c>
      <c r="D213" s="240"/>
      <c r="E213" s="240" t="s">
        <v>593</v>
      </c>
      <c r="F213" s="240" t="s">
        <v>594</v>
      </c>
      <c r="G213" s="240" t="s">
        <v>595</v>
      </c>
      <c r="H213" s="240" t="s">
        <v>596</v>
      </c>
      <c r="I213" s="390"/>
      <c r="J213" s="391" t="s">
        <v>597</v>
      </c>
      <c r="K213" s="240" t="s">
        <v>590</v>
      </c>
      <c r="L213" s="338"/>
      <c r="N213" s="205"/>
      <c r="O213" s="177"/>
      <c r="P213" s="317" t="s">
        <v>590</v>
      </c>
      <c r="Q213" s="240" t="s">
        <v>593</v>
      </c>
      <c r="R213" s="240" t="s">
        <v>594</v>
      </c>
      <c r="S213" s="240" t="s">
        <v>595</v>
      </c>
      <c r="T213" s="240" t="s">
        <v>596</v>
      </c>
      <c r="U213" s="390"/>
      <c r="V213" s="391" t="s">
        <v>597</v>
      </c>
      <c r="W213" s="240" t="s">
        <v>590</v>
      </c>
      <c r="X213" s="338"/>
    </row>
    <row r="214" spans="1:24">
      <c r="A214" s="205"/>
      <c r="B214" s="177"/>
      <c r="C214" s="240" t="s">
        <v>557</v>
      </c>
      <c r="D214" s="240" t="s">
        <v>601</v>
      </c>
      <c r="E214" s="240" t="s">
        <v>602</v>
      </c>
      <c r="F214" s="240" t="s">
        <v>603</v>
      </c>
      <c r="G214" s="240" t="s">
        <v>604</v>
      </c>
      <c r="H214" s="240" t="s">
        <v>605</v>
      </c>
      <c r="I214" s="391" t="s">
        <v>134</v>
      </c>
      <c r="J214" s="391" t="s">
        <v>606</v>
      </c>
      <c r="K214" s="240" t="s">
        <v>1148</v>
      </c>
      <c r="L214" s="392" t="s">
        <v>1227</v>
      </c>
      <c r="N214" s="205"/>
      <c r="O214" s="177"/>
      <c r="P214" s="240" t="s">
        <v>557</v>
      </c>
      <c r="Q214" s="240" t="s">
        <v>602</v>
      </c>
      <c r="R214" s="240" t="s">
        <v>603</v>
      </c>
      <c r="S214" s="240" t="s">
        <v>604</v>
      </c>
      <c r="T214" s="240" t="s">
        <v>605</v>
      </c>
      <c r="U214" s="391" t="s">
        <v>134</v>
      </c>
      <c r="V214" s="391" t="s">
        <v>606</v>
      </c>
      <c r="W214" s="240" t="s">
        <v>1148</v>
      </c>
      <c r="X214" s="392" t="s">
        <v>1227</v>
      </c>
    </row>
    <row r="215" spans="1:24" ht="24">
      <c r="A215" s="393" t="s">
        <v>660</v>
      </c>
      <c r="B215" s="353" t="s">
        <v>661</v>
      </c>
      <c r="C215" s="177">
        <f>CO50</f>
        <v>0.10128792839991269</v>
      </c>
      <c r="D215" s="177">
        <f>CP50</f>
        <v>8.1866197183098594E-2</v>
      </c>
      <c r="E215" s="177">
        <f t="shared" ref="C215:J219" si="92">CQ50</f>
        <v>0</v>
      </c>
      <c r="F215" s="177">
        <f t="shared" si="92"/>
        <v>0.40672268907563025</v>
      </c>
      <c r="G215" s="177">
        <f t="shared" si="92"/>
        <v>0.17174354511169132</v>
      </c>
      <c r="H215" s="177">
        <f t="shared" si="92"/>
        <v>3.2743942370661429E-4</v>
      </c>
      <c r="I215" s="394">
        <f t="shared" si="92"/>
        <v>0</v>
      </c>
      <c r="J215" s="394">
        <f t="shared" si="92"/>
        <v>0</v>
      </c>
      <c r="K215" s="177">
        <f>CW50</f>
        <v>0</v>
      </c>
      <c r="L215" s="338">
        <f>CX50</f>
        <v>0</v>
      </c>
      <c r="N215" s="393" t="s">
        <v>660</v>
      </c>
      <c r="O215" s="353" t="s">
        <v>661</v>
      </c>
      <c r="P215" s="177">
        <f t="shared" ref="P215:R219" si="93">DB50</f>
        <v>0</v>
      </c>
      <c r="Q215" s="177">
        <f t="shared" si="93"/>
        <v>0</v>
      </c>
      <c r="R215" s="177">
        <f t="shared" si="93"/>
        <v>0</v>
      </c>
      <c r="S215" s="177">
        <f t="shared" ref="S215:X215" si="94">DE50</f>
        <v>0</v>
      </c>
      <c r="T215" s="177">
        <f t="shared" si="94"/>
        <v>0</v>
      </c>
      <c r="U215" s="177">
        <f t="shared" si="94"/>
        <v>0</v>
      </c>
      <c r="V215" s="177">
        <f t="shared" si="94"/>
        <v>0</v>
      </c>
      <c r="W215" s="177">
        <f t="shared" si="94"/>
        <v>0</v>
      </c>
      <c r="X215" s="338">
        <f t="shared" si="94"/>
        <v>0</v>
      </c>
    </row>
    <row r="216" spans="1:24" ht="35.65">
      <c r="A216" s="393" t="s">
        <v>662</v>
      </c>
      <c r="B216" s="353" t="s">
        <v>663</v>
      </c>
      <c r="C216" s="177">
        <f t="shared" si="92"/>
        <v>1.9209779524121371E-2</v>
      </c>
      <c r="D216" s="177">
        <f t="shared" si="92"/>
        <v>8.8028169014084509E-4</v>
      </c>
      <c r="E216" s="177">
        <f t="shared" si="92"/>
        <v>1.1904761904761904E-2</v>
      </c>
      <c r="F216" s="177">
        <f t="shared" si="92"/>
        <v>1.0084033613445379E-2</v>
      </c>
      <c r="G216" s="177">
        <f t="shared" si="92"/>
        <v>5.2219321148825066E-3</v>
      </c>
      <c r="H216" s="177">
        <f t="shared" si="92"/>
        <v>4.9115913555992138E-2</v>
      </c>
      <c r="I216" s="394">
        <f t="shared" si="92"/>
        <v>0</v>
      </c>
      <c r="J216" s="394">
        <f t="shared" si="92"/>
        <v>0</v>
      </c>
      <c r="K216" s="177">
        <f t="shared" ref="K216:K218" si="95">CW51</f>
        <v>0</v>
      </c>
      <c r="L216" s="338">
        <f>CX51</f>
        <v>0</v>
      </c>
      <c r="N216" s="393" t="s">
        <v>662</v>
      </c>
      <c r="O216" s="353" t="s">
        <v>663</v>
      </c>
      <c r="P216" s="177">
        <f t="shared" si="93"/>
        <v>0.85227272727272729</v>
      </c>
      <c r="Q216" s="177">
        <f t="shared" si="93"/>
        <v>0</v>
      </c>
      <c r="R216" s="177">
        <f t="shared" si="93"/>
        <v>0</v>
      </c>
      <c r="S216" s="177">
        <f t="shared" ref="S216:X216" si="96">DE51</f>
        <v>0</v>
      </c>
      <c r="T216" s="177">
        <f t="shared" si="96"/>
        <v>1</v>
      </c>
      <c r="U216" s="177">
        <f t="shared" si="96"/>
        <v>0</v>
      </c>
      <c r="V216" s="177">
        <f t="shared" si="96"/>
        <v>0</v>
      </c>
      <c r="W216" s="177">
        <f t="shared" si="96"/>
        <v>0</v>
      </c>
      <c r="X216" s="338">
        <f t="shared" si="96"/>
        <v>0</v>
      </c>
    </row>
    <row r="217" spans="1:24" ht="47.25">
      <c r="A217" s="393" t="s">
        <v>664</v>
      </c>
      <c r="B217" s="353" t="s">
        <v>665</v>
      </c>
      <c r="C217" s="177">
        <f t="shared" si="92"/>
        <v>8.840864440078585E-3</v>
      </c>
      <c r="D217" s="177">
        <f t="shared" si="92"/>
        <v>8.8028169014084509E-4</v>
      </c>
      <c r="E217" s="177">
        <f t="shared" si="92"/>
        <v>0</v>
      </c>
      <c r="F217" s="177">
        <f t="shared" si="92"/>
        <v>0</v>
      </c>
      <c r="G217" s="177">
        <f t="shared" si="92"/>
        <v>1.450536698578474E-3</v>
      </c>
      <c r="H217" s="177">
        <f t="shared" si="92"/>
        <v>2.4557956777996069E-2</v>
      </c>
      <c r="I217" s="394">
        <f t="shared" si="92"/>
        <v>0</v>
      </c>
      <c r="J217" s="394">
        <f t="shared" si="92"/>
        <v>0</v>
      </c>
      <c r="K217" s="177">
        <f t="shared" si="95"/>
        <v>0</v>
      </c>
      <c r="L217" s="338">
        <f>CX52</f>
        <v>0</v>
      </c>
      <c r="N217" s="393" t="s">
        <v>664</v>
      </c>
      <c r="O217" s="353" t="s">
        <v>665</v>
      </c>
      <c r="P217" s="177">
        <f t="shared" si="93"/>
        <v>0.93827160493827155</v>
      </c>
      <c r="Q217" s="177">
        <f t="shared" si="93"/>
        <v>0</v>
      </c>
      <c r="R217" s="177">
        <f t="shared" si="93"/>
        <v>0</v>
      </c>
      <c r="S217" s="177">
        <f t="shared" ref="S217:X217" si="97">DE52</f>
        <v>0</v>
      </c>
      <c r="T217" s="177">
        <f t="shared" si="97"/>
        <v>1</v>
      </c>
      <c r="U217" s="177">
        <f t="shared" si="97"/>
        <v>0</v>
      </c>
      <c r="V217" s="177">
        <f t="shared" si="97"/>
        <v>0</v>
      </c>
      <c r="W217" s="177">
        <f t="shared" si="97"/>
        <v>0</v>
      </c>
      <c r="X217" s="338">
        <f t="shared" si="97"/>
        <v>0</v>
      </c>
    </row>
    <row r="218" spans="1:24" ht="35.65">
      <c r="A218" s="393" t="s">
        <v>666</v>
      </c>
      <c r="B218" s="353" t="s">
        <v>667</v>
      </c>
      <c r="C218" s="177">
        <f t="shared" si="92"/>
        <v>1.1678672778869243E-2</v>
      </c>
      <c r="D218" s="177">
        <f t="shared" si="92"/>
        <v>8.8028169014084509E-4</v>
      </c>
      <c r="E218" s="177">
        <f t="shared" si="92"/>
        <v>0</v>
      </c>
      <c r="F218" s="177">
        <f t="shared" si="92"/>
        <v>3.3613445378151259E-2</v>
      </c>
      <c r="G218" s="177">
        <f t="shared" si="92"/>
        <v>5.8021467943138963E-4</v>
      </c>
      <c r="H218" s="177">
        <f t="shared" si="92"/>
        <v>6.2213490504256716E-3</v>
      </c>
      <c r="I218" s="394">
        <f t="shared" si="92"/>
        <v>0.16537467700258399</v>
      </c>
      <c r="J218" s="394">
        <f t="shared" si="92"/>
        <v>3.0303030303030304E-2</v>
      </c>
      <c r="K218" s="177">
        <f t="shared" si="95"/>
        <v>0.15476190476190477</v>
      </c>
      <c r="L218" s="338">
        <f>CX53</f>
        <v>0</v>
      </c>
      <c r="N218" s="393" t="s">
        <v>666</v>
      </c>
      <c r="O218" s="353" t="s">
        <v>667</v>
      </c>
      <c r="P218" s="177">
        <f t="shared" si="93"/>
        <v>0.79439252336448596</v>
      </c>
      <c r="Q218" s="177">
        <f t="shared" si="93"/>
        <v>0</v>
      </c>
      <c r="R218" s="177">
        <f t="shared" si="93"/>
        <v>0</v>
      </c>
      <c r="S218" s="177">
        <f t="shared" ref="S218:X218" si="98">DE53</f>
        <v>0</v>
      </c>
      <c r="T218" s="177">
        <f t="shared" si="98"/>
        <v>1</v>
      </c>
      <c r="U218" s="177">
        <f t="shared" si="98"/>
        <v>1</v>
      </c>
      <c r="V218" s="177">
        <f t="shared" si="98"/>
        <v>1</v>
      </c>
      <c r="W218" s="177">
        <f t="shared" si="98"/>
        <v>1</v>
      </c>
      <c r="X218" s="338">
        <f t="shared" si="98"/>
        <v>0</v>
      </c>
    </row>
    <row r="219" spans="1:24">
      <c r="A219" s="395" t="s">
        <v>668</v>
      </c>
      <c r="B219" s="352" t="s">
        <v>569</v>
      </c>
      <c r="C219" s="177">
        <f t="shared" si="92"/>
        <v>0.54464090809866839</v>
      </c>
      <c r="D219" s="177">
        <f t="shared" si="92"/>
        <v>0.21742957746478872</v>
      </c>
      <c r="E219" s="177">
        <f t="shared" si="92"/>
        <v>0.6785714285714286</v>
      </c>
      <c r="F219" s="177">
        <f t="shared" si="92"/>
        <v>1.8487394957983194E-2</v>
      </c>
      <c r="G219" s="177">
        <f t="shared" si="92"/>
        <v>0.52683492892370176</v>
      </c>
      <c r="H219" s="177">
        <f t="shared" si="92"/>
        <v>0.90831696136214801</v>
      </c>
      <c r="I219" s="394">
        <f t="shared" si="92"/>
        <v>0.21963824289405684</v>
      </c>
      <c r="J219" s="394">
        <f t="shared" si="92"/>
        <v>0</v>
      </c>
      <c r="K219" s="177">
        <f>CW54</f>
        <v>0.20238095238095238</v>
      </c>
      <c r="L219" s="338">
        <f>CX54</f>
        <v>0</v>
      </c>
      <c r="N219" s="395" t="s">
        <v>668</v>
      </c>
      <c r="O219" s="352" t="s">
        <v>569</v>
      </c>
      <c r="P219" s="177">
        <f t="shared" si="93"/>
        <v>0.65571142284569139</v>
      </c>
      <c r="Q219" s="177">
        <f t="shared" si="93"/>
        <v>0.96491228070175439</v>
      </c>
      <c r="R219" s="177">
        <f t="shared" si="93"/>
        <v>0.36363636363636365</v>
      </c>
      <c r="S219" s="177">
        <f t="shared" ref="S219:X219" si="99">DE54</f>
        <v>0.23623348017621146</v>
      </c>
      <c r="T219" s="177">
        <f t="shared" si="99"/>
        <v>0.99927901946647435</v>
      </c>
      <c r="U219" s="177">
        <f t="shared" si="99"/>
        <v>0.14117647058823529</v>
      </c>
      <c r="V219" s="177">
        <f t="shared" si="99"/>
        <v>0</v>
      </c>
      <c r="W219" s="177">
        <f t="shared" si="99"/>
        <v>0.14117647058823529</v>
      </c>
      <c r="X219" s="338">
        <f t="shared" si="99"/>
        <v>0</v>
      </c>
    </row>
    <row r="220" spans="1:24" ht="35.65">
      <c r="A220" s="395" t="s">
        <v>698</v>
      </c>
      <c r="B220" s="352" t="s">
        <v>699</v>
      </c>
      <c r="C220" s="144">
        <f t="shared" ref="C220:J220" si="100">CO69</f>
        <v>1.3097576948264571E-2</v>
      </c>
      <c r="D220" s="144">
        <f t="shared" si="100"/>
        <v>7.0422535211267609E-2</v>
      </c>
      <c r="E220" s="144">
        <f t="shared" si="100"/>
        <v>0</v>
      </c>
      <c r="F220" s="144">
        <f t="shared" si="100"/>
        <v>0</v>
      </c>
      <c r="G220" s="144">
        <f t="shared" si="100"/>
        <v>1.1024078909196402E-2</v>
      </c>
      <c r="H220" s="144">
        <f t="shared" si="100"/>
        <v>6.5487884741322858E-4</v>
      </c>
      <c r="I220" s="396">
        <f t="shared" si="100"/>
        <v>0</v>
      </c>
      <c r="J220" s="396">
        <f t="shared" si="100"/>
        <v>0</v>
      </c>
      <c r="K220" s="177">
        <f>CW69</f>
        <v>0</v>
      </c>
      <c r="L220" s="397">
        <f>CX69</f>
        <v>0</v>
      </c>
      <c r="N220" s="395" t="s">
        <v>698</v>
      </c>
      <c r="O220" s="352" t="s">
        <v>699</v>
      </c>
      <c r="P220" s="144">
        <f>DB69</f>
        <v>0</v>
      </c>
      <c r="Q220" s="144">
        <f>DC69</f>
        <v>0</v>
      </c>
      <c r="R220" s="144">
        <f>DD69</f>
        <v>0</v>
      </c>
      <c r="S220" s="144">
        <f t="shared" ref="S220:X220" si="101">DE69</f>
        <v>0</v>
      </c>
      <c r="T220" s="144">
        <f t="shared" si="101"/>
        <v>0</v>
      </c>
      <c r="U220" s="144">
        <f t="shared" si="101"/>
        <v>0</v>
      </c>
      <c r="V220" s="144">
        <f t="shared" si="101"/>
        <v>0</v>
      </c>
      <c r="W220" s="144">
        <f t="shared" si="101"/>
        <v>0</v>
      </c>
      <c r="X220" s="397">
        <f t="shared" si="101"/>
        <v>0</v>
      </c>
    </row>
    <row r="221" spans="1:24">
      <c r="A221" s="398" t="s">
        <v>712</v>
      </c>
      <c r="B221" s="366" t="s">
        <v>713</v>
      </c>
      <c r="C221" s="177">
        <f t="shared" ref="C221:J222" si="102">CO76</f>
        <v>1.1678672778869243E-2</v>
      </c>
      <c r="D221" s="177">
        <f t="shared" si="102"/>
        <v>1.4964788732394365E-2</v>
      </c>
      <c r="E221" s="177">
        <f t="shared" si="102"/>
        <v>0</v>
      </c>
      <c r="F221" s="177">
        <f t="shared" si="102"/>
        <v>1.3445378151260505E-2</v>
      </c>
      <c r="G221" s="177">
        <f t="shared" si="102"/>
        <v>2.3208587177255585E-3</v>
      </c>
      <c r="H221" s="177">
        <f t="shared" si="102"/>
        <v>0</v>
      </c>
      <c r="I221" s="394">
        <f t="shared" si="102"/>
        <v>0.18087855297157623</v>
      </c>
      <c r="J221" s="394">
        <f t="shared" si="102"/>
        <v>6.0606060606060608E-2</v>
      </c>
      <c r="K221" s="177">
        <f>CW76</f>
        <v>0.17142857142857143</v>
      </c>
      <c r="L221" s="338">
        <f>CX76</f>
        <v>4.6948356807511738E-3</v>
      </c>
      <c r="N221" s="398" t="s">
        <v>712</v>
      </c>
      <c r="O221" s="366" t="s">
        <v>713</v>
      </c>
      <c r="P221" s="177">
        <f t="shared" ref="P221:R222" si="103">DB76</f>
        <v>0</v>
      </c>
      <c r="Q221" s="177">
        <f t="shared" si="103"/>
        <v>0</v>
      </c>
      <c r="R221" s="177">
        <f t="shared" si="103"/>
        <v>0</v>
      </c>
      <c r="S221" s="177">
        <f t="shared" ref="S221:X221" si="104">DE76</f>
        <v>0</v>
      </c>
      <c r="T221" s="177">
        <f t="shared" si="104"/>
        <v>0</v>
      </c>
      <c r="U221" s="177">
        <f t="shared" si="104"/>
        <v>0</v>
      </c>
      <c r="V221" s="177">
        <f t="shared" si="104"/>
        <v>0</v>
      </c>
      <c r="W221" s="177">
        <f t="shared" si="104"/>
        <v>0</v>
      </c>
      <c r="X221" s="338">
        <f t="shared" si="104"/>
        <v>0</v>
      </c>
    </row>
    <row r="222" spans="1:24">
      <c r="A222" s="398" t="s">
        <v>714</v>
      </c>
      <c r="B222" s="366" t="s">
        <v>715</v>
      </c>
      <c r="C222" s="177">
        <f t="shared" si="102"/>
        <v>4.2567125081859856E-3</v>
      </c>
      <c r="D222" s="177">
        <f t="shared" si="102"/>
        <v>1.7605633802816902E-3</v>
      </c>
      <c r="E222" s="177">
        <f t="shared" si="102"/>
        <v>0</v>
      </c>
      <c r="F222" s="177">
        <f t="shared" si="102"/>
        <v>1.3445378151260505E-2</v>
      </c>
      <c r="G222" s="177">
        <f t="shared" si="102"/>
        <v>8.703220191470844E-4</v>
      </c>
      <c r="H222" s="177">
        <f t="shared" si="102"/>
        <v>0</v>
      </c>
      <c r="I222" s="394">
        <f t="shared" si="102"/>
        <v>6.7183462532299745E-2</v>
      </c>
      <c r="J222" s="394">
        <f t="shared" si="102"/>
        <v>0</v>
      </c>
      <c r="K222" s="177">
        <f>CW77</f>
        <v>6.1904761904761907E-2</v>
      </c>
      <c r="L222" s="338">
        <f>CX77</f>
        <v>0</v>
      </c>
      <c r="N222" s="398" t="s">
        <v>714</v>
      </c>
      <c r="O222" s="366" t="s">
        <v>715</v>
      </c>
      <c r="P222" s="177">
        <f t="shared" si="103"/>
        <v>0</v>
      </c>
      <c r="Q222" s="177">
        <f t="shared" si="103"/>
        <v>0</v>
      </c>
      <c r="R222" s="177">
        <f t="shared" si="103"/>
        <v>0</v>
      </c>
      <c r="S222" s="177">
        <f t="shared" ref="S222:X222" si="105">DE77</f>
        <v>0</v>
      </c>
      <c r="T222" s="177">
        <f t="shared" si="105"/>
        <v>0</v>
      </c>
      <c r="U222" s="177">
        <f t="shared" si="105"/>
        <v>0</v>
      </c>
      <c r="V222" s="177">
        <f t="shared" si="105"/>
        <v>0</v>
      </c>
      <c r="W222" s="177">
        <f t="shared" si="105"/>
        <v>0</v>
      </c>
      <c r="X222" s="338">
        <f t="shared" si="105"/>
        <v>0</v>
      </c>
    </row>
    <row r="223" spans="1:24" ht="35.65">
      <c r="A223" s="399" t="s">
        <v>722</v>
      </c>
      <c r="B223" s="351" t="s">
        <v>723</v>
      </c>
      <c r="C223" s="177">
        <f t="shared" ref="C223:J224" si="106">CO81</f>
        <v>2.75049115913556E-2</v>
      </c>
      <c r="D223" s="177">
        <f t="shared" si="106"/>
        <v>7.4823943661971828E-2</v>
      </c>
      <c r="E223" s="177">
        <f t="shared" si="106"/>
        <v>0</v>
      </c>
      <c r="F223" s="177">
        <f t="shared" si="106"/>
        <v>1.6806722689075631E-3</v>
      </c>
      <c r="G223" s="177">
        <f t="shared" si="106"/>
        <v>2.959094865100087E-2</v>
      </c>
      <c r="H223" s="177">
        <f t="shared" si="106"/>
        <v>0</v>
      </c>
      <c r="I223" s="394">
        <f t="shared" si="106"/>
        <v>9.5607235142118857E-2</v>
      </c>
      <c r="J223" s="394">
        <f t="shared" si="106"/>
        <v>0.78787878787878785</v>
      </c>
      <c r="K223" s="177">
        <f>CW81</f>
        <v>0.15</v>
      </c>
      <c r="L223" s="338">
        <f>CX81</f>
        <v>2.3474178403755869E-3</v>
      </c>
      <c r="N223" s="399" t="s">
        <v>722</v>
      </c>
      <c r="O223" s="351" t="s">
        <v>723</v>
      </c>
      <c r="P223" s="177">
        <f t="shared" ref="P223:R224" si="107">DB81</f>
        <v>0.21428571428571427</v>
      </c>
      <c r="Q223" s="177">
        <f t="shared" si="107"/>
        <v>0</v>
      </c>
      <c r="R223" s="177">
        <f t="shared" si="107"/>
        <v>0</v>
      </c>
      <c r="S223" s="177">
        <f t="shared" ref="S223:X223" si="108">DE81</f>
        <v>0.23529411764705882</v>
      </c>
      <c r="T223" s="177">
        <f t="shared" si="108"/>
        <v>0</v>
      </c>
      <c r="U223" s="177">
        <f t="shared" si="108"/>
        <v>0.78378378378378377</v>
      </c>
      <c r="V223" s="177">
        <f t="shared" si="108"/>
        <v>3.8461538461538464E-2</v>
      </c>
      <c r="W223" s="177">
        <f t="shared" si="108"/>
        <v>0.47619047619047616</v>
      </c>
      <c r="X223" s="338">
        <f t="shared" si="108"/>
        <v>0</v>
      </c>
    </row>
    <row r="224" spans="1:24" ht="36" thickBot="1">
      <c r="A224" s="400" t="s">
        <v>724</v>
      </c>
      <c r="B224" s="401" t="s">
        <v>725</v>
      </c>
      <c r="C224" s="182">
        <f t="shared" si="106"/>
        <v>2.1829294913774284E-3</v>
      </c>
      <c r="D224" s="182">
        <f t="shared" si="106"/>
        <v>9.683098591549295E-3</v>
      </c>
      <c r="E224" s="182">
        <f t="shared" si="106"/>
        <v>0</v>
      </c>
      <c r="F224" s="182">
        <f t="shared" si="106"/>
        <v>1.6806722689075631E-3</v>
      </c>
      <c r="G224" s="182">
        <f t="shared" si="106"/>
        <v>2.3208587177255585E-3</v>
      </c>
      <c r="H224" s="182">
        <f t="shared" si="106"/>
        <v>0</v>
      </c>
      <c r="I224" s="402">
        <f t="shared" si="106"/>
        <v>0</v>
      </c>
      <c r="J224" s="402">
        <f t="shared" si="106"/>
        <v>0</v>
      </c>
      <c r="K224" s="182">
        <f>CW82</f>
        <v>0</v>
      </c>
      <c r="L224" s="330">
        <f>CX82</f>
        <v>0</v>
      </c>
      <c r="N224" s="400" t="s">
        <v>724</v>
      </c>
      <c r="O224" s="401" t="s">
        <v>725</v>
      </c>
      <c r="P224" s="182">
        <f t="shared" si="107"/>
        <v>0.05</v>
      </c>
      <c r="Q224" s="182">
        <f t="shared" si="107"/>
        <v>0</v>
      </c>
      <c r="R224" s="182">
        <f t="shared" si="107"/>
        <v>0</v>
      </c>
      <c r="S224" s="182">
        <f t="shared" ref="S224:X224" si="109">DE82</f>
        <v>0.125</v>
      </c>
      <c r="T224" s="182">
        <f t="shared" si="109"/>
        <v>0</v>
      </c>
      <c r="U224" s="182">
        <f t="shared" si="109"/>
        <v>0</v>
      </c>
      <c r="V224" s="182">
        <f t="shared" si="109"/>
        <v>0</v>
      </c>
      <c r="W224" s="182">
        <f t="shared" si="109"/>
        <v>0</v>
      </c>
      <c r="X224" s="330">
        <f t="shared" si="109"/>
        <v>0</v>
      </c>
    </row>
    <row r="225" spans="1:16">
      <c r="N225" s="26" t="s">
        <v>1294</v>
      </c>
      <c r="O225" s="26"/>
      <c r="P225" s="26"/>
    </row>
    <row r="226" spans="1:16">
      <c r="L226" s="316"/>
      <c r="N226" s="5" t="s">
        <v>1295</v>
      </c>
    </row>
    <row r="230" spans="1:16" s="8" customFormat="1">
      <c r="A230" s="2" t="s">
        <v>1151</v>
      </c>
    </row>
    <row r="231" spans="1:16">
      <c r="A231" s="41" t="s">
        <v>514</v>
      </c>
      <c r="B231" s="41" t="s">
        <v>515</v>
      </c>
    </row>
    <row r="232" spans="1:16">
      <c r="A232" s="5" t="s">
        <v>509</v>
      </c>
      <c r="B232" s="5" t="s">
        <v>5</v>
      </c>
    </row>
    <row r="233" spans="1:16">
      <c r="A233" s="5" t="s">
        <v>510</v>
      </c>
      <c r="B233" s="5" t="s">
        <v>510</v>
      </c>
    </row>
    <row r="234" spans="1:16">
      <c r="A234" s="5" t="s">
        <v>511</v>
      </c>
      <c r="B234" s="5" t="s">
        <v>9</v>
      </c>
    </row>
    <row r="237" spans="1:16">
      <c r="A237" s="5" t="s">
        <v>1152</v>
      </c>
      <c r="B237" s="1" t="s">
        <v>869</v>
      </c>
      <c r="F237" s="1" t="s">
        <v>865</v>
      </c>
    </row>
    <row r="238" spans="1:16">
      <c r="B238" s="5" t="s">
        <v>837</v>
      </c>
      <c r="C238" s="5" t="s">
        <v>818</v>
      </c>
      <c r="D238" s="5" t="s">
        <v>592</v>
      </c>
      <c r="F238" s="5" t="s">
        <v>837</v>
      </c>
      <c r="G238" s="5" t="s">
        <v>818</v>
      </c>
      <c r="H238" s="5" t="s">
        <v>592</v>
      </c>
    </row>
    <row r="239" spans="1:16">
      <c r="B239" s="5" t="s">
        <v>134</v>
      </c>
      <c r="C239" s="5">
        <v>21553484.398426499</v>
      </c>
      <c r="D239" s="5">
        <v>211111</v>
      </c>
      <c r="F239" s="5" t="s">
        <v>134</v>
      </c>
      <c r="G239" s="5">
        <v>602096.29047125997</v>
      </c>
      <c r="H239" s="5">
        <v>212111</v>
      </c>
    </row>
    <row r="240" spans="1:16">
      <c r="B240" s="5" t="s">
        <v>523</v>
      </c>
      <c r="C240" s="5">
        <v>17602479.166478299</v>
      </c>
      <c r="D240" s="5">
        <v>211111</v>
      </c>
      <c r="F240" s="5" t="s">
        <v>134</v>
      </c>
      <c r="G240" s="5">
        <v>17813.502308898998</v>
      </c>
      <c r="H240" s="5">
        <v>212112</v>
      </c>
    </row>
    <row r="241" spans="2:24">
      <c r="B241" s="5" t="s">
        <v>523</v>
      </c>
      <c r="C241" s="5">
        <v>215187.16792398199</v>
      </c>
      <c r="D241" s="5">
        <v>211112</v>
      </c>
      <c r="F241" s="5" t="s">
        <v>523</v>
      </c>
      <c r="G241" s="5">
        <v>2501825.5507735899</v>
      </c>
      <c r="H241" s="5">
        <v>212111</v>
      </c>
      <c r="J241" s="1" t="s">
        <v>1158</v>
      </c>
    </row>
    <row r="242" spans="2:24">
      <c r="B242" s="5" t="s">
        <v>820</v>
      </c>
      <c r="C242" s="5">
        <v>4057856.3762757201</v>
      </c>
      <c r="D242" s="5">
        <v>211112</v>
      </c>
      <c r="F242" s="5" t="s">
        <v>523</v>
      </c>
      <c r="G242" s="5">
        <v>53067.892602340602</v>
      </c>
      <c r="H242" s="5">
        <v>212112</v>
      </c>
      <c r="J242" s="5" t="s">
        <v>1153</v>
      </c>
      <c r="L242" s="5">
        <f>SUM(C239:C250)/(SUM(E141,E145,E148,E152,E155,E158))</f>
        <v>0.94417132552233418</v>
      </c>
    </row>
    <row r="243" spans="2:24">
      <c r="B243" s="5" t="s">
        <v>821</v>
      </c>
      <c r="C243" s="5">
        <v>721052039.75145102</v>
      </c>
      <c r="D243" s="5">
        <v>211111</v>
      </c>
      <c r="F243" s="5" t="s">
        <v>821</v>
      </c>
      <c r="G243" s="5">
        <v>70115.861649838596</v>
      </c>
      <c r="H243" s="5">
        <v>212111</v>
      </c>
      <c r="J243" s="5" t="s">
        <v>570</v>
      </c>
      <c r="L243" s="5">
        <f>SUM(G239:G250)/SUM(E141,E145,E148,E152,E155,E158)</f>
        <v>4.4926384721604125E-3</v>
      </c>
    </row>
    <row r="244" spans="2:24">
      <c r="B244" s="5" t="s">
        <v>821</v>
      </c>
      <c r="C244" s="5">
        <v>354794272.93673003</v>
      </c>
      <c r="D244" s="5">
        <v>211112</v>
      </c>
      <c r="F244" s="5" t="s">
        <v>821</v>
      </c>
      <c r="G244" s="5">
        <v>11180.833513595</v>
      </c>
      <c r="H244" s="5">
        <v>212112</v>
      </c>
      <c r="J244" s="5" t="s">
        <v>1154</v>
      </c>
      <c r="L244" s="5">
        <f>1-(L242+L243)</f>
        <v>5.1336036005505403E-2</v>
      </c>
      <c r="R244" s="26"/>
      <c r="S244" s="26"/>
      <c r="T244" s="26"/>
      <c r="U244" s="26"/>
      <c r="V244" s="26"/>
      <c r="W244" s="26"/>
      <c r="X244" s="26"/>
    </row>
    <row r="245" spans="2:24">
      <c r="B245" s="5" t="s">
        <v>819</v>
      </c>
      <c r="C245" s="5">
        <v>78693950.303389296</v>
      </c>
      <c r="D245" s="5">
        <v>211111</v>
      </c>
      <c r="F245" s="5" t="s">
        <v>819</v>
      </c>
      <c r="G245" s="5">
        <v>772183.24803639005</v>
      </c>
      <c r="H245" s="5">
        <v>212111</v>
      </c>
      <c r="R245" s="26"/>
      <c r="S245" s="41"/>
      <c r="T245" s="26"/>
      <c r="U245" s="26"/>
      <c r="V245" s="26"/>
      <c r="W245" s="26"/>
      <c r="X245" s="26"/>
    </row>
    <row r="246" spans="2:24">
      <c r="B246" s="5" t="s">
        <v>819</v>
      </c>
      <c r="C246" s="5">
        <v>6650248.1396382404</v>
      </c>
      <c r="D246" s="5">
        <v>211112</v>
      </c>
      <c r="F246" s="5" t="s">
        <v>819</v>
      </c>
      <c r="G246" s="5">
        <v>304449.53170348099</v>
      </c>
      <c r="H246" s="5">
        <v>212112</v>
      </c>
      <c r="R246" s="26"/>
      <c r="S246" s="26"/>
      <c r="T246" s="26"/>
      <c r="U246" s="26"/>
      <c r="V246" s="26"/>
      <c r="W246" s="26"/>
      <c r="X246" s="26"/>
    </row>
    <row r="247" spans="2:24">
      <c r="B247" s="5" t="s">
        <v>784</v>
      </c>
      <c r="C247" s="5">
        <v>33793589.880371898</v>
      </c>
      <c r="D247" s="5">
        <v>211111</v>
      </c>
      <c r="F247" s="5" t="s">
        <v>784</v>
      </c>
      <c r="G247" s="5">
        <v>242152.44095180999</v>
      </c>
      <c r="H247" s="5">
        <v>212111</v>
      </c>
      <c r="N247" s="5">
        <f>SUM(G239:G250)/1000000</f>
        <v>5.9226877276745968</v>
      </c>
      <c r="R247" s="26"/>
      <c r="S247" s="26"/>
      <c r="T247" s="354"/>
      <c r="U247" s="26"/>
      <c r="V247" s="26"/>
      <c r="W247" s="26"/>
      <c r="X247" s="26"/>
    </row>
    <row r="248" spans="2:24">
      <c r="B248" s="5" t="s">
        <v>784</v>
      </c>
      <c r="C248" s="5">
        <v>3305508.1251205201</v>
      </c>
      <c r="D248" s="5">
        <v>211112</v>
      </c>
      <c r="F248" s="5" t="s">
        <v>784</v>
      </c>
      <c r="G248" s="5">
        <v>12755.265938304299</v>
      </c>
      <c r="H248" s="5">
        <v>212112</v>
      </c>
      <c r="N248" s="5" t="s">
        <v>1174</v>
      </c>
      <c r="R248" s="26"/>
      <c r="S248" s="26"/>
      <c r="T248" s="354"/>
      <c r="U248" s="26"/>
      <c r="V248" s="26"/>
      <c r="W248" s="26"/>
      <c r="X248" s="26"/>
    </row>
    <row r="249" spans="2:24">
      <c r="B249" s="5" t="s">
        <v>822</v>
      </c>
      <c r="C249" s="5">
        <v>2959533.3354052799</v>
      </c>
      <c r="D249" s="5">
        <v>211111</v>
      </c>
      <c r="F249" s="5" t="s">
        <v>822</v>
      </c>
      <c r="G249" s="5">
        <v>1281766.6158282501</v>
      </c>
      <c r="H249" s="5">
        <v>212111</v>
      </c>
      <c r="R249" s="26"/>
      <c r="S249" s="26"/>
      <c r="T249" s="354"/>
      <c r="U249" s="26"/>
      <c r="V249" s="26"/>
      <c r="W249" s="26"/>
      <c r="X249" s="26"/>
    </row>
    <row r="250" spans="2:24">
      <c r="B250" s="5" t="s">
        <v>822</v>
      </c>
      <c r="C250" s="5">
        <v>31825.892132504101</v>
      </c>
      <c r="D250" s="5">
        <v>211112</v>
      </c>
      <c r="F250" s="5" t="s">
        <v>822</v>
      </c>
      <c r="G250" s="5">
        <v>53280.693896836397</v>
      </c>
      <c r="H250" s="5">
        <v>212112</v>
      </c>
      <c r="R250" s="26"/>
      <c r="S250" s="26"/>
      <c r="T250" s="26"/>
      <c r="U250" s="26"/>
      <c r="V250" s="26"/>
      <c r="W250" s="26"/>
      <c r="X250" s="26"/>
    </row>
    <row r="251" spans="2:24">
      <c r="R251" s="26"/>
      <c r="S251" s="26"/>
      <c r="T251" s="26"/>
      <c r="U251" s="26"/>
      <c r="V251" s="26"/>
      <c r="W251" s="26"/>
      <c r="X251" s="26"/>
    </row>
    <row r="252" spans="2:24">
      <c r="B252" s="486" t="s">
        <v>1155</v>
      </c>
      <c r="C252" s="5" t="s">
        <v>134</v>
      </c>
      <c r="D252" s="5" t="s">
        <v>1046</v>
      </c>
      <c r="E252" s="5" t="s">
        <v>1013</v>
      </c>
      <c r="F252" s="5" t="s">
        <v>1045</v>
      </c>
      <c r="G252" s="5" t="s">
        <v>1124</v>
      </c>
      <c r="H252" s="104" t="s">
        <v>1118</v>
      </c>
      <c r="I252" s="5" t="s">
        <v>342</v>
      </c>
      <c r="J252" s="5" t="s">
        <v>1108</v>
      </c>
      <c r="K252" s="5" t="s">
        <v>1109</v>
      </c>
      <c r="L252" s="5" t="s">
        <v>1015</v>
      </c>
      <c r="O252" s="5" t="s">
        <v>1160</v>
      </c>
      <c r="R252" s="26"/>
      <c r="S252" s="26"/>
      <c r="T252" s="26"/>
      <c r="U252" s="26"/>
      <c r="V252" s="26"/>
      <c r="W252" s="26"/>
      <c r="X252" s="26"/>
    </row>
    <row r="253" spans="2:24">
      <c r="B253" s="486"/>
      <c r="C253" s="5">
        <f t="shared" ref="C253:I253" si="110">C191</f>
        <v>4.645961678874257</v>
      </c>
      <c r="D253" s="5">
        <f t="shared" si="110"/>
        <v>183.18711349461088</v>
      </c>
      <c r="E253" s="5">
        <f t="shared" si="110"/>
        <v>10.052139920989406</v>
      </c>
      <c r="F253" s="5">
        <f t="shared" si="110"/>
        <v>1047.1055419429599</v>
      </c>
      <c r="G253" s="5">
        <f t="shared" si="110"/>
        <v>107.2266683838747</v>
      </c>
      <c r="H253" s="104">
        <f t="shared" si="110"/>
        <v>204.94732817233225</v>
      </c>
      <c r="I253" s="5">
        <f t="shared" si="110"/>
        <v>5.233102192944485</v>
      </c>
      <c r="J253" s="5">
        <v>0</v>
      </c>
      <c r="K253" s="5">
        <v>0</v>
      </c>
      <c r="L253" s="5">
        <f>SUM(C253:K253)</f>
        <v>1562.3978557865858</v>
      </c>
      <c r="R253" s="26"/>
      <c r="S253" s="26"/>
      <c r="T253" s="26"/>
      <c r="U253" s="26"/>
      <c r="V253" s="26"/>
      <c r="W253" s="26"/>
      <c r="X253" s="26"/>
    </row>
    <row r="254" spans="2:24">
      <c r="B254" s="5" t="s">
        <v>1159</v>
      </c>
      <c r="R254" s="26"/>
      <c r="S254" s="26"/>
      <c r="T254" s="355"/>
      <c r="U254" s="26"/>
      <c r="V254" s="26"/>
      <c r="W254" s="26"/>
      <c r="X254" s="26"/>
    </row>
    <row r="255" spans="2:24" ht="14.65" thickBot="1">
      <c r="R255" s="26"/>
      <c r="S255" s="26"/>
      <c r="T255" s="355"/>
      <c r="U255" s="26"/>
      <c r="V255" s="26"/>
      <c r="W255" s="26"/>
      <c r="X255" s="26"/>
    </row>
    <row r="256" spans="2:24">
      <c r="B256" s="341"/>
      <c r="C256" s="174" t="s">
        <v>134</v>
      </c>
      <c r="D256" s="174" t="s">
        <v>1046</v>
      </c>
      <c r="E256" s="174" t="s">
        <v>1013</v>
      </c>
      <c r="F256" s="174" t="s">
        <v>1045</v>
      </c>
      <c r="G256" s="174" t="s">
        <v>1124</v>
      </c>
      <c r="H256" s="174" t="s">
        <v>342</v>
      </c>
      <c r="I256" s="336" t="s">
        <v>800</v>
      </c>
      <c r="R256" s="26"/>
      <c r="S256" s="26"/>
      <c r="T256" s="355"/>
      <c r="U256" s="26"/>
      <c r="V256" s="26"/>
      <c r="W256" s="26"/>
      <c r="X256" s="26"/>
    </row>
    <row r="257" spans="1:24">
      <c r="B257" s="205" t="s">
        <v>1156</v>
      </c>
      <c r="C257" s="177">
        <f>C239/E136</f>
        <v>0.70747147295038704</v>
      </c>
      <c r="D257" s="177">
        <f>(C240+C241)/E141</f>
        <v>0.43679357687165543</v>
      </c>
      <c r="E257" s="177">
        <f>C242/E145</f>
        <v>0.9999999941534945</v>
      </c>
      <c r="F257" s="177">
        <f>(C243+C244)/E148</f>
        <v>0.97318130098257982</v>
      </c>
      <c r="G257" s="177">
        <f>(C245+C246)/E152</f>
        <v>0.91634965489668219</v>
      </c>
      <c r="H257" s="177">
        <f>(C249+C250)/E155</f>
        <v>0.15102210489787729</v>
      </c>
      <c r="I257" s="338">
        <f>(C247+C248)/E158</f>
        <v>0.67424709186692078</v>
      </c>
      <c r="R257" s="26"/>
      <c r="S257" s="26"/>
      <c r="T257" s="355"/>
      <c r="U257" s="26"/>
      <c r="V257" s="26"/>
      <c r="W257" s="26"/>
      <c r="X257" s="26"/>
    </row>
    <row r="258" spans="1:24">
      <c r="B258" s="205" t="s">
        <v>134</v>
      </c>
      <c r="C258" s="177">
        <f>(G239+G240)/E136</f>
        <v>2.0347916192454046E-2</v>
      </c>
      <c r="D258" s="177">
        <f>(G241+G242)/E141</f>
        <v>6.2632278813270825E-2</v>
      </c>
      <c r="E258" s="177">
        <f>0</f>
        <v>0</v>
      </c>
      <c r="F258" s="177">
        <f>(G243+G244)/E148</f>
        <v>7.3538778384664408E-5</v>
      </c>
      <c r="G258" s="177">
        <f>(G245+G246)/E152</f>
        <v>1.1559919644961966E-2</v>
      </c>
      <c r="H258" s="177">
        <f>(G249+G250)/E155</f>
        <v>6.7401351531720777E-2</v>
      </c>
      <c r="I258" s="338">
        <f>(G247+G248)/E158</f>
        <v>4.6327482150557951E-3</v>
      </c>
      <c r="R258" s="26"/>
      <c r="S258" s="26"/>
      <c r="T258" s="355"/>
      <c r="U258" s="26"/>
      <c r="V258" s="26"/>
      <c r="W258" s="26"/>
      <c r="X258" s="26"/>
    </row>
    <row r="259" spans="1:24" ht="14.65" thickBot="1">
      <c r="B259" s="206" t="s">
        <v>1157</v>
      </c>
      <c r="C259" s="182">
        <f>1-(C257+C258)</f>
        <v>0.27218061085715894</v>
      </c>
      <c r="D259" s="182">
        <f t="shared" ref="D259:I259" si="111">1-(D257+D258)</f>
        <v>0.50057414431507374</v>
      </c>
      <c r="E259" s="182">
        <v>0</v>
      </c>
      <c r="F259" s="182">
        <f t="shared" si="111"/>
        <v>2.6745160239035504E-2</v>
      </c>
      <c r="G259" s="182">
        <f t="shared" si="111"/>
        <v>7.2090425458355867E-2</v>
      </c>
      <c r="H259" s="182">
        <f t="shared" si="111"/>
        <v>0.78157654357040196</v>
      </c>
      <c r="I259" s="330">
        <f t="shared" si="111"/>
        <v>0.32112015991802345</v>
      </c>
      <c r="R259" s="26"/>
      <c r="S259" s="26"/>
      <c r="T259" s="26"/>
      <c r="U259" s="26"/>
      <c r="V259" s="26"/>
      <c r="W259" s="26"/>
      <c r="X259" s="26"/>
    </row>
    <row r="260" spans="1:24">
      <c r="R260" s="26"/>
      <c r="S260" s="26"/>
      <c r="T260" s="26"/>
      <c r="U260" s="26"/>
      <c r="V260" s="26"/>
      <c r="W260" s="26"/>
      <c r="X260" s="26"/>
    </row>
    <row r="261" spans="1:24">
      <c r="R261" s="26"/>
      <c r="S261" s="26"/>
      <c r="T261" s="26"/>
      <c r="U261" s="26"/>
      <c r="V261" s="26"/>
      <c r="W261" s="26"/>
      <c r="X261" s="26"/>
    </row>
    <row r="262" spans="1:24">
      <c r="B262" s="177" t="s">
        <v>794</v>
      </c>
      <c r="C262" s="177" t="s">
        <v>134</v>
      </c>
      <c r="D262" s="177" t="s">
        <v>1046</v>
      </c>
      <c r="E262" s="177" t="s">
        <v>1013</v>
      </c>
      <c r="F262" s="177" t="s">
        <v>1045</v>
      </c>
      <c r="G262" s="177" t="s">
        <v>1124</v>
      </c>
      <c r="H262" s="177" t="s">
        <v>342</v>
      </c>
      <c r="I262" s="144" t="s">
        <v>784</v>
      </c>
      <c r="J262" s="177" t="s">
        <v>1175</v>
      </c>
    </row>
    <row r="263" spans="1:24">
      <c r="B263" s="177" t="s">
        <v>1156</v>
      </c>
      <c r="C263" s="177">
        <f>C257*C$253</f>
        <v>3.2868853522242238</v>
      </c>
      <c r="D263" s="177">
        <f>D257*D$253</f>
        <v>80.014954540104981</v>
      </c>
      <c r="E263" s="177">
        <f>E257*E$253</f>
        <v>10.052139862219514</v>
      </c>
      <c r="F263" s="177">
        <f>F257*F$253</f>
        <v>1019.023533574119</v>
      </c>
      <c r="G263" s="177">
        <f>G257*G$253</f>
        <v>98.257120569284567</v>
      </c>
      <c r="H263" s="177">
        <f>H257*$I$253</f>
        <v>0.7903141083241737</v>
      </c>
      <c r="I263" s="144">
        <f>(SUM(C247:C248)/SUM(C239:C246,C249:C250))*SUM(C263:H263)</f>
        <v>37.216270332559894</v>
      </c>
      <c r="J263" s="177">
        <f>SUM(C263:I263)</f>
        <v>1248.6412183388361</v>
      </c>
    </row>
    <row r="264" spans="1:24">
      <c r="B264" s="177" t="s">
        <v>134</v>
      </c>
      <c r="C264" s="177">
        <f t="shared" ref="C264:G264" si="112">C258*C$253</f>
        <v>9.4535638875086481E-2</v>
      </c>
      <c r="D264" s="177">
        <f t="shared" si="112"/>
        <v>11.473426367392756</v>
      </c>
      <c r="E264" s="177">
        <f t="shared" si="112"/>
        <v>0</v>
      </c>
      <c r="F264" s="177">
        <f t="shared" si="112"/>
        <v>7.7002862394297253E-2</v>
      </c>
      <c r="G264" s="177">
        <f t="shared" si="112"/>
        <v>1.2395316703145751</v>
      </c>
      <c r="H264" s="177">
        <f t="shared" ref="H264:H265" si="113">H258*$I$253</f>
        <v>0.35271816050807014</v>
      </c>
      <c r="I264" s="144">
        <f>((G247+G248)/SUM(G239:G246,G249:G250))*SUM(C264:H264)</f>
        <v>0.5953420973086293</v>
      </c>
      <c r="J264" s="177">
        <f t="shared" ref="J264" si="114">SUM(C264:I264)</f>
        <v>13.832556796793414</v>
      </c>
    </row>
    <row r="265" spans="1:24">
      <c r="B265" s="177" t="s">
        <v>1157</v>
      </c>
      <c r="C265" s="177">
        <f t="shared" ref="C265:G265" si="115">C259*C$253</f>
        <v>1.264540687774947</v>
      </c>
      <c r="D265" s="177">
        <f t="shared" si="115"/>
        <v>91.698732587113142</v>
      </c>
      <c r="E265" s="177">
        <f>E259*E$253</f>
        <v>0</v>
      </c>
      <c r="F265" s="177">
        <f t="shared" si="115"/>
        <v>28.005005506446576</v>
      </c>
      <c r="G265" s="177">
        <f t="shared" si="115"/>
        <v>7.7300161442755622</v>
      </c>
      <c r="H265" s="177">
        <f t="shared" si="113"/>
        <v>4.0900699241122416</v>
      </c>
      <c r="I265" s="177">
        <f>(SUM(I263:I264)/C278)*D276</f>
        <v>17.885449402609325</v>
      </c>
      <c r="J265" s="177">
        <f>SUM(C265:I265)</f>
        <v>150.67381425233179</v>
      </c>
    </row>
    <row r="266" spans="1:24">
      <c r="I266" s="26"/>
    </row>
    <row r="267" spans="1:24">
      <c r="B267" s="144" t="s">
        <v>1177</v>
      </c>
    </row>
    <row r="268" spans="1:24">
      <c r="B268" s="144" t="s">
        <v>1189</v>
      </c>
      <c r="N268" s="8" t="s">
        <v>1351</v>
      </c>
      <c r="O268" s="8"/>
      <c r="P268" s="8"/>
      <c r="Q268" s="8"/>
      <c r="R268" s="8"/>
    </row>
    <row r="269" spans="1:24">
      <c r="B269" s="377" t="s">
        <v>1191</v>
      </c>
      <c r="C269" s="32"/>
      <c r="D269" s="32"/>
      <c r="E269" s="32"/>
      <c r="F269" s="32"/>
      <c r="N269" s="5" t="s">
        <v>1348</v>
      </c>
    </row>
    <row r="270" spans="1:24">
      <c r="N270" s="5" t="s">
        <v>1349</v>
      </c>
      <c r="O270" s="5">
        <v>12819999999999.998</v>
      </c>
    </row>
    <row r="271" spans="1:24">
      <c r="A271" s="358" t="s">
        <v>1192</v>
      </c>
      <c r="B271" s="8"/>
      <c r="C271" s="8"/>
      <c r="D271" s="8"/>
    </row>
    <row r="272" spans="1:24">
      <c r="F272" s="238"/>
    </row>
    <row r="273" spans="1:47">
      <c r="B273" s="5" t="s">
        <v>1156</v>
      </c>
      <c r="C273" s="5" t="s">
        <v>134</v>
      </c>
      <c r="D273" s="5" t="s">
        <v>1157</v>
      </c>
    </row>
    <row r="274" spans="1:47">
      <c r="A274" s="5" t="s">
        <v>1023</v>
      </c>
      <c r="B274" s="5">
        <f>SUM(C247:C248)</f>
        <v>37099098.005492419</v>
      </c>
      <c r="C274" s="5">
        <f>SUM(G247:G248)</f>
        <v>254907.70689011429</v>
      </c>
      <c r="D274" s="5">
        <f>E158-SUM(C247:C248)-SUM(G247:G248)</f>
        <v>17668994.687617466</v>
      </c>
    </row>
    <row r="275" spans="1:47">
      <c r="O275" s="5" t="s">
        <v>0</v>
      </c>
      <c r="P275">
        <v>2019</v>
      </c>
      <c r="Q275">
        <v>2020</v>
      </c>
      <c r="R275">
        <v>2021</v>
      </c>
      <c r="S275">
        <v>2022</v>
      </c>
      <c r="T275">
        <v>2023</v>
      </c>
      <c r="U275">
        <v>2024</v>
      </c>
      <c r="V275">
        <v>2025</v>
      </c>
      <c r="W275">
        <v>2026</v>
      </c>
      <c r="X275">
        <v>2027</v>
      </c>
      <c r="Y275">
        <v>2028</v>
      </c>
      <c r="Z275">
        <v>2029</v>
      </c>
      <c r="AA275">
        <v>2030</v>
      </c>
      <c r="AB275">
        <v>2031</v>
      </c>
      <c r="AC275">
        <v>2032</v>
      </c>
      <c r="AD275">
        <v>2033</v>
      </c>
      <c r="AE275">
        <v>2034</v>
      </c>
      <c r="AF275">
        <v>2035</v>
      </c>
      <c r="AG275">
        <v>2036</v>
      </c>
      <c r="AH275">
        <v>2037</v>
      </c>
      <c r="AI275">
        <v>2038</v>
      </c>
      <c r="AJ275">
        <v>2039</v>
      </c>
      <c r="AK275">
        <v>2040</v>
      </c>
      <c r="AL275">
        <v>2041</v>
      </c>
      <c r="AM275">
        <v>2042</v>
      </c>
      <c r="AN275">
        <v>2043</v>
      </c>
      <c r="AO275">
        <v>2044</v>
      </c>
      <c r="AP275">
        <v>2045</v>
      </c>
      <c r="AQ275">
        <v>2046</v>
      </c>
      <c r="AR275">
        <v>2047</v>
      </c>
      <c r="AS275">
        <v>2048</v>
      </c>
      <c r="AT275">
        <v>2049</v>
      </c>
      <c r="AU275">
        <v>2050</v>
      </c>
    </row>
    <row r="276" spans="1:47">
      <c r="A276" s="5" t="s">
        <v>1176</v>
      </c>
      <c r="B276" s="5">
        <f>B274/SUM(B274:D274)</f>
        <v>0.67424709186692078</v>
      </c>
      <c r="C276" s="5">
        <f>C274/SUM(B274:D274)</f>
        <v>4.6327482150557951E-3</v>
      </c>
      <c r="D276" s="5">
        <f>D274/SUM(B274:D274)</f>
        <v>0.3211201599180234</v>
      </c>
      <c r="O276" s="5" t="s">
        <v>1350</v>
      </c>
      <c r="P276">
        <v>39.172400000000003</v>
      </c>
      <c r="Q276">
        <v>37.455800000000004</v>
      </c>
      <c r="R276">
        <v>34.472200000000001</v>
      </c>
      <c r="S276">
        <v>32.351599999999998</v>
      </c>
      <c r="T276">
        <v>30.438400000000001</v>
      </c>
      <c r="U276">
        <v>28.2408</v>
      </c>
      <c r="V276">
        <v>25.800999999999998</v>
      </c>
      <c r="W276">
        <v>23.247399999999999</v>
      </c>
      <c r="X276">
        <v>20.683900000000001</v>
      </c>
      <c r="Y276">
        <v>18.118500000000001</v>
      </c>
      <c r="Z276">
        <v>15.5412</v>
      </c>
      <c r="AA276">
        <v>12.9641</v>
      </c>
      <c r="AB276">
        <v>10.3843</v>
      </c>
      <c r="AC276">
        <v>7.8046199999999999</v>
      </c>
      <c r="AD276">
        <v>5.22309</v>
      </c>
      <c r="AE276">
        <v>2.6408200000000002</v>
      </c>
      <c r="AF276">
        <v>5.79929E-2</v>
      </c>
      <c r="AG276">
        <v>5.27001E-2</v>
      </c>
      <c r="AH276">
        <v>5.2701199999999997E-2</v>
      </c>
      <c r="AI276">
        <v>5.2706099999999999E-2</v>
      </c>
      <c r="AJ276">
        <v>5.2711099999999997E-2</v>
      </c>
      <c r="AK276">
        <v>5.2715999999999999E-2</v>
      </c>
      <c r="AL276">
        <v>5.2720900000000001E-2</v>
      </c>
      <c r="AM276">
        <v>5.2725899999999999E-2</v>
      </c>
      <c r="AN276">
        <v>5.2730800000000001E-2</v>
      </c>
      <c r="AO276">
        <v>5.2735799999999999E-2</v>
      </c>
      <c r="AP276">
        <v>5.2740700000000001E-2</v>
      </c>
      <c r="AQ276">
        <v>5.2745599999999997E-2</v>
      </c>
      <c r="AR276">
        <v>5.2750499999999999E-2</v>
      </c>
      <c r="AS276">
        <v>5.2755499999999997E-2</v>
      </c>
      <c r="AT276">
        <v>5.2760399999999999E-2</v>
      </c>
      <c r="AU276">
        <v>5.2765300000000001E-2</v>
      </c>
    </row>
    <row r="277" spans="1:47">
      <c r="O277" s="5" t="s">
        <v>969</v>
      </c>
      <c r="P277">
        <v>502190167999999.94</v>
      </c>
      <c r="Q277">
        <v>480183356000000</v>
      </c>
      <c r="R277">
        <v>441933603999999.94</v>
      </c>
      <c r="S277">
        <v>414747511999999.94</v>
      </c>
      <c r="T277">
        <v>390220287999999.94</v>
      </c>
      <c r="U277">
        <v>362047055999999.94</v>
      </c>
      <c r="V277">
        <v>330768819999999.94</v>
      </c>
      <c r="W277">
        <v>298031667999999.94</v>
      </c>
      <c r="X277">
        <v>265167597999999.97</v>
      </c>
      <c r="Y277">
        <v>232279169999999.97</v>
      </c>
      <c r="Z277">
        <v>199238183999999.97</v>
      </c>
      <c r="AA277">
        <v>166199761999999.97</v>
      </c>
      <c r="AB277">
        <v>133126725999999.97</v>
      </c>
      <c r="AC277">
        <v>100055228399999.98</v>
      </c>
      <c r="AD277">
        <v>66960013799999.992</v>
      </c>
      <c r="AE277">
        <v>33855312399999.996</v>
      </c>
      <c r="AF277">
        <v>743468977999.99988</v>
      </c>
      <c r="AG277">
        <v>675615281999.99988</v>
      </c>
      <c r="AH277">
        <v>675629383999.99988</v>
      </c>
      <c r="AI277">
        <v>675692201999.99988</v>
      </c>
      <c r="AJ277">
        <v>675756301999.99988</v>
      </c>
      <c r="AK277">
        <v>675819119999.99988</v>
      </c>
      <c r="AL277">
        <v>675881937999.99988</v>
      </c>
      <c r="AM277">
        <v>675946037999.99988</v>
      </c>
      <c r="AN277">
        <v>676008855999.99988</v>
      </c>
      <c r="AO277">
        <v>676072955999.99988</v>
      </c>
      <c r="AP277">
        <v>676135773999.99988</v>
      </c>
      <c r="AQ277">
        <v>676198591999.99988</v>
      </c>
      <c r="AR277">
        <v>676261409999.99988</v>
      </c>
      <c r="AS277">
        <v>676325509999.99988</v>
      </c>
      <c r="AT277">
        <v>676388327999.99988</v>
      </c>
      <c r="AU277">
        <v>676451145999.99988</v>
      </c>
    </row>
    <row r="278" spans="1:47">
      <c r="C278" s="5">
        <f>SUM(B276:C276)</f>
        <v>0.67887984008197655</v>
      </c>
      <c r="AG278" s="5"/>
    </row>
    <row r="279" spans="1:47">
      <c r="N279" s="5" t="s">
        <v>1352</v>
      </c>
    </row>
    <row r="280" spans="1:47">
      <c r="N280" s="5" t="s">
        <v>1353</v>
      </c>
    </row>
    <row r="281" spans="1:47">
      <c r="N281" s="5" t="s">
        <v>1354</v>
      </c>
    </row>
    <row r="283" spans="1:47" s="196" customFormat="1">
      <c r="A283" s="2" t="s">
        <v>1181</v>
      </c>
    </row>
    <row r="285" spans="1:47">
      <c r="A285" s="104"/>
      <c r="B285" s="104"/>
      <c r="C285" s="104"/>
      <c r="D285" s="104"/>
      <c r="E285" s="104"/>
      <c r="F285" s="104"/>
      <c r="G285" s="104"/>
      <c r="H285" s="104"/>
      <c r="I285" s="104"/>
      <c r="J285" s="104"/>
    </row>
    <row r="286" spans="1:47">
      <c r="A286" s="104"/>
      <c r="B286" s="104"/>
      <c r="C286" s="104"/>
      <c r="D286" s="104"/>
      <c r="E286" s="104"/>
      <c r="F286" s="104"/>
      <c r="G286" s="104"/>
      <c r="H286" s="104"/>
      <c r="I286" s="104"/>
      <c r="J286" s="104"/>
    </row>
    <row r="287" spans="1:47">
      <c r="A287" s="104"/>
      <c r="B287" s="104" t="s">
        <v>134</v>
      </c>
      <c r="C287" s="104" t="s">
        <v>1046</v>
      </c>
      <c r="D287" s="104" t="s">
        <v>1013</v>
      </c>
      <c r="E287" s="104" t="s">
        <v>1045</v>
      </c>
      <c r="F287" s="104" t="s">
        <v>1124</v>
      </c>
      <c r="G287" s="104" t="s">
        <v>1118</v>
      </c>
      <c r="H287" s="104" t="s">
        <v>342</v>
      </c>
      <c r="I287" s="104" t="s">
        <v>1108</v>
      </c>
      <c r="J287" s="104" t="s">
        <v>1109</v>
      </c>
    </row>
    <row r="288" spans="1:47">
      <c r="A288" s="104" t="s">
        <v>572</v>
      </c>
      <c r="B288" s="104">
        <f>C189</f>
        <v>0</v>
      </c>
      <c r="C288" s="104">
        <f>D189</f>
        <v>154.66592110672002</v>
      </c>
      <c r="D288" s="104">
        <f>E189</f>
        <v>13.287225746876377</v>
      </c>
      <c r="E288" s="104">
        <f t="shared" ref="E288:H288" si="116">F189</f>
        <v>0</v>
      </c>
      <c r="F288" s="104">
        <f t="shared" si="116"/>
        <v>21.830582998602679</v>
      </c>
      <c r="G288" s="104">
        <f>H189</f>
        <v>41.725810616352241</v>
      </c>
      <c r="H288" s="104">
        <f t="shared" si="116"/>
        <v>0</v>
      </c>
      <c r="I288" s="104">
        <v>0</v>
      </c>
      <c r="J288" s="104">
        <v>0</v>
      </c>
    </row>
    <row r="289" spans="1:10">
      <c r="A289" s="104"/>
      <c r="B289" s="104"/>
      <c r="C289" s="104"/>
      <c r="D289" s="104"/>
      <c r="E289" s="104"/>
      <c r="F289" s="104"/>
      <c r="G289" s="104"/>
      <c r="H289" s="104"/>
      <c r="I289" s="104"/>
      <c r="J289" s="104"/>
    </row>
    <row r="290" spans="1:10">
      <c r="A290" s="104"/>
      <c r="B290" s="104"/>
      <c r="C290" s="104"/>
      <c r="D290" s="104"/>
      <c r="E290" s="104"/>
      <c r="F290" s="104" t="s">
        <v>1234</v>
      </c>
      <c r="G290" s="104"/>
      <c r="H290" s="104"/>
      <c r="I290" s="104"/>
      <c r="J290" s="104"/>
    </row>
    <row r="291" spans="1:10">
      <c r="A291" s="104"/>
      <c r="B291" s="104"/>
      <c r="C291" s="104"/>
      <c r="D291" s="104"/>
      <c r="E291" s="104"/>
      <c r="F291" s="104"/>
      <c r="G291" s="104"/>
      <c r="H291" s="104"/>
      <c r="I291" s="104"/>
      <c r="J291" s="104"/>
    </row>
    <row r="292" spans="1:10">
      <c r="A292" s="104"/>
      <c r="B292" s="104"/>
      <c r="C292" s="104"/>
      <c r="D292" s="104"/>
      <c r="E292" s="104"/>
      <c r="F292" s="104"/>
      <c r="G292" s="104"/>
      <c r="H292" s="104"/>
      <c r="I292" s="104"/>
      <c r="J292" s="104"/>
    </row>
    <row r="293" spans="1:10">
      <c r="A293" s="104"/>
      <c r="B293" s="104"/>
      <c r="C293" s="104"/>
      <c r="D293" s="104"/>
      <c r="E293" s="104"/>
      <c r="F293" s="104"/>
      <c r="G293" s="104"/>
      <c r="H293" s="104"/>
      <c r="I293" s="104"/>
      <c r="J293" s="104"/>
    </row>
    <row r="296" spans="1:10">
      <c r="B296" s="238" t="s">
        <v>1186</v>
      </c>
      <c r="C296" s="5">
        <f>SUM('NREL by NAICS'!J37:J47)/SUM('NREL by NAICS'!J3:J58)</f>
        <v>0.14331689177411824</v>
      </c>
      <c r="D296" s="5" t="s">
        <v>1185</v>
      </c>
    </row>
    <row r="298" spans="1:10">
      <c r="C298" s="5">
        <f>SUM(B288:F288)*C296/(1-C296)</f>
        <v>31.749446219435072</v>
      </c>
      <c r="D298" s="5" t="s">
        <v>794</v>
      </c>
    </row>
    <row r="299" spans="1:10">
      <c r="C299" s="5" t="s">
        <v>1235</v>
      </c>
    </row>
    <row r="301" spans="1:10">
      <c r="B301" s="5" t="s">
        <v>1197</v>
      </c>
      <c r="C301" s="5">
        <v>8808</v>
      </c>
      <c r="D301" s="5" t="s">
        <v>1198</v>
      </c>
    </row>
    <row r="302" spans="1:10">
      <c r="B302" s="5" t="s">
        <v>1199</v>
      </c>
      <c r="C302" s="5">
        <v>100</v>
      </c>
      <c r="D302" s="5" t="s">
        <v>1200</v>
      </c>
    </row>
    <row r="303" spans="1:10">
      <c r="B303" s="5" t="s">
        <v>1201</v>
      </c>
      <c r="C303" s="5">
        <v>0.16</v>
      </c>
      <c r="D303" s="5" t="s">
        <v>1202</v>
      </c>
    </row>
    <row r="305" spans="1:5">
      <c r="B305" s="5" t="s">
        <v>1203</v>
      </c>
      <c r="C305" s="5">
        <f>C301*C302*8760*C303</f>
        <v>1234529280</v>
      </c>
      <c r="D305" s="5" t="s">
        <v>1204</v>
      </c>
    </row>
    <row r="306" spans="1:5">
      <c r="C306" s="5">
        <f>C305*3412/1000000000000</f>
        <v>4.2122139033600003</v>
      </c>
      <c r="D306" s="5" t="s">
        <v>794</v>
      </c>
    </row>
    <row r="307" spans="1:5">
      <c r="B307" s="5" t="s">
        <v>1205</v>
      </c>
    </row>
    <row r="308" spans="1:5">
      <c r="C308" s="237">
        <f>C306*0.5*1000000</f>
        <v>2106106.9516799999</v>
      </c>
      <c r="D308" s="237" t="s">
        <v>1232</v>
      </c>
    </row>
    <row r="310" spans="1:5">
      <c r="B310" s="5" t="s">
        <v>1236</v>
      </c>
    </row>
    <row r="313" spans="1:5" s="8" customFormat="1">
      <c r="A313" s="2" t="s">
        <v>1206</v>
      </c>
    </row>
    <row r="316" spans="1:5">
      <c r="A316" s="104" t="s">
        <v>1207</v>
      </c>
      <c r="B316" s="104"/>
      <c r="C316" s="104">
        <v>267.8</v>
      </c>
      <c r="D316" s="104" t="s">
        <v>1208</v>
      </c>
      <c r="E316" s="231" t="s">
        <v>1209</v>
      </c>
    </row>
    <row r="317" spans="1:5">
      <c r="A317" s="104" t="s">
        <v>1214</v>
      </c>
      <c r="B317" s="104"/>
      <c r="C317" s="104">
        <v>23101736</v>
      </c>
      <c r="D317" s="104" t="s">
        <v>1210</v>
      </c>
      <c r="E317" s="231" t="s">
        <v>1211</v>
      </c>
    </row>
    <row r="318" spans="1:5">
      <c r="A318" s="104"/>
      <c r="B318" s="104"/>
      <c r="C318" s="104"/>
      <c r="D318" s="104"/>
      <c r="E318" s="104" t="s">
        <v>1212</v>
      </c>
    </row>
    <row r="319" spans="1:5">
      <c r="A319" s="104"/>
      <c r="B319" s="104" t="s">
        <v>1213</v>
      </c>
      <c r="C319" s="378">
        <f>C317/(C316*1000000)</f>
        <v>8.6264884241971623E-2</v>
      </c>
      <c r="D319" s="104"/>
      <c r="E319" s="104"/>
    </row>
    <row r="321" spans="1:36">
      <c r="A321" s="5" t="s">
        <v>1215</v>
      </c>
      <c r="C321" s="5">
        <v>322</v>
      </c>
      <c r="D321" s="5" t="s">
        <v>1216</v>
      </c>
      <c r="E321" s="132" t="s">
        <v>1239</v>
      </c>
    </row>
    <row r="322" spans="1:36">
      <c r="A322" s="5" t="s">
        <v>1238</v>
      </c>
      <c r="C322" s="5">
        <v>21300</v>
      </c>
      <c r="D322" s="5" t="s">
        <v>1217</v>
      </c>
      <c r="E322" s="132" t="s">
        <v>1239</v>
      </c>
    </row>
    <row r="324" spans="1:36">
      <c r="B324" s="5" t="s">
        <v>1213</v>
      </c>
      <c r="C324" s="151">
        <f>C322/(C321*1000)</f>
        <v>6.6149068322981369E-2</v>
      </c>
    </row>
    <row r="326" spans="1:36">
      <c r="A326" s="5" t="s">
        <v>1240</v>
      </c>
    </row>
    <row r="327" spans="1:36">
      <c r="C327" s="151"/>
    </row>
    <row r="328" spans="1:36" s="5" customFormat="1">
      <c r="C328" s="151"/>
    </row>
    <row r="330" spans="1:36" s="8" customFormat="1">
      <c r="A330" s="2" t="s">
        <v>1261</v>
      </c>
    </row>
    <row r="332" spans="1:36">
      <c r="B332" s="5">
        <v>2017</v>
      </c>
      <c r="C332" s="5">
        <v>2018</v>
      </c>
      <c r="D332" s="5">
        <v>2019</v>
      </c>
      <c r="E332" s="5">
        <v>2020</v>
      </c>
      <c r="F332" s="5">
        <v>2021</v>
      </c>
      <c r="G332" s="5">
        <v>2022</v>
      </c>
      <c r="H332" s="5">
        <v>2023</v>
      </c>
      <c r="I332" s="5">
        <v>2024</v>
      </c>
      <c r="J332" s="5">
        <v>2025</v>
      </c>
      <c r="K332" s="5">
        <v>2026</v>
      </c>
      <c r="L332" s="5">
        <v>2027</v>
      </c>
      <c r="M332" s="5">
        <v>2028</v>
      </c>
      <c r="N332" s="5">
        <v>2029</v>
      </c>
      <c r="O332" s="5">
        <v>2030</v>
      </c>
      <c r="P332" s="5">
        <v>2031</v>
      </c>
      <c r="Q332" s="5">
        <v>2032</v>
      </c>
      <c r="R332" s="5">
        <v>2033</v>
      </c>
      <c r="S332" s="5">
        <v>2034</v>
      </c>
      <c r="T332" s="5">
        <v>2035</v>
      </c>
      <c r="U332" s="5">
        <v>2036</v>
      </c>
      <c r="V332" s="5">
        <v>2037</v>
      </c>
      <c r="W332" s="5">
        <v>2038</v>
      </c>
      <c r="X332" s="5">
        <v>2039</v>
      </c>
      <c r="Y332" s="5">
        <v>2040</v>
      </c>
      <c r="Z332" s="5">
        <v>2041</v>
      </c>
      <c r="AA332" s="5">
        <v>2042</v>
      </c>
      <c r="AB332" s="5">
        <v>2043</v>
      </c>
      <c r="AC332" s="5">
        <v>2044</v>
      </c>
      <c r="AD332" s="5">
        <v>2045</v>
      </c>
      <c r="AE332" s="5">
        <v>2046</v>
      </c>
      <c r="AF332" s="5">
        <v>2047</v>
      </c>
      <c r="AG332" s="5">
        <v>2048</v>
      </c>
      <c r="AH332" s="5">
        <v>2049</v>
      </c>
      <c r="AI332" s="5">
        <v>2050</v>
      </c>
    </row>
    <row r="334" spans="1:36">
      <c r="A334" s="1" t="s">
        <v>1242</v>
      </c>
    </row>
    <row r="335" spans="1:36">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row>
    <row r="336" spans="1:36">
      <c r="A336" s="26" t="s">
        <v>813</v>
      </c>
      <c r="B336" s="26">
        <f>SUM($D$221:$D$222)*'TX SEDS'!C168*$I$151</f>
        <v>4.1740997358367338</v>
      </c>
      <c r="C336" s="26">
        <f>SUM($D$221:$D$222)*'TX SEDS'!D168*$I$151</f>
        <v>4.2162740462449966</v>
      </c>
      <c r="D336" s="26">
        <f>SUM($D$221:$D$222)*'TX SEDS'!E168*$I$151</f>
        <v>4.2584483566532594</v>
      </c>
      <c r="E336" s="26">
        <f>SUM($D$221:$D$222)*'TX SEDS'!F168*$I$151</f>
        <v>4.3006226670615222</v>
      </c>
      <c r="F336" s="26">
        <f>SUM($D$221:$D$222)*'TX SEDS'!G168*$I$151</f>
        <v>4.342796977469785</v>
      </c>
      <c r="G336" s="26">
        <f>SUM($D$221:$D$222)*'TX SEDS'!H168*$I$151</f>
        <v>4.3849712878780478</v>
      </c>
      <c r="H336" s="26">
        <f>SUM($D$221:$D$222)*'TX SEDS'!I168*$I$151</f>
        <v>4.4271455982863106</v>
      </c>
      <c r="I336" s="26">
        <f>SUM($D$221:$D$222)*'TX SEDS'!J168*$I$151</f>
        <v>4.4693199086945734</v>
      </c>
      <c r="J336" s="26">
        <f>SUM($D$221:$D$222)*'TX SEDS'!K168*$I$151</f>
        <v>4.5114942191028362</v>
      </c>
      <c r="K336" s="26">
        <f>SUM($D$221:$D$222)*'TX SEDS'!L168*$I$151</f>
        <v>4.553668529511099</v>
      </c>
      <c r="L336" s="26">
        <f>SUM($D$221:$D$222)*'TX SEDS'!M168*$I$151</f>
        <v>4.5958428399193618</v>
      </c>
      <c r="M336" s="26">
        <f>SUM($D$221:$D$222)*'TX SEDS'!N168*$I$151</f>
        <v>4.6380171503276246</v>
      </c>
      <c r="N336" s="26">
        <f>SUM($D$221:$D$222)*'TX SEDS'!O168*$I$151</f>
        <v>4.6801914607358874</v>
      </c>
      <c r="O336" s="26">
        <f>SUM($D$221:$D$222)*'TX SEDS'!P168*$I$151</f>
        <v>4.7223657711441502</v>
      </c>
      <c r="P336" s="26">
        <f>SUM($D$221:$D$222)*'TX SEDS'!Q168*$I$151</f>
        <v>4.7645400815524122</v>
      </c>
      <c r="Q336" s="26">
        <f>SUM($D$221:$D$222)*'TX SEDS'!R168*$I$151</f>
        <v>4.806714391960675</v>
      </c>
      <c r="R336" s="26">
        <f>SUM($D$221:$D$222)*'TX SEDS'!S168*$I$151</f>
        <v>4.8488887023689378</v>
      </c>
      <c r="S336" s="26">
        <f>SUM($D$221:$D$222)*'TX SEDS'!T168*$I$151</f>
        <v>4.8910630127772015</v>
      </c>
      <c r="T336" s="26">
        <f>SUM($D$221:$D$222)*'TX SEDS'!U168*$I$151</f>
        <v>4.9332373231854643</v>
      </c>
      <c r="U336" s="26">
        <f>SUM($D$221:$D$222)*'TX SEDS'!V168*$I$151</f>
        <v>4.9754116335937271</v>
      </c>
      <c r="V336" s="26">
        <f>SUM($D$221:$D$222)*'TX SEDS'!W168*$I$151</f>
        <v>5.017585944001989</v>
      </c>
      <c r="W336" s="26">
        <f>SUM($D$221:$D$222)*'TX SEDS'!X168*$I$151</f>
        <v>5.0597602544102518</v>
      </c>
      <c r="X336" s="26">
        <f>SUM($D$221:$D$222)*'TX SEDS'!Y168*$I$151</f>
        <v>5.1019345648185146</v>
      </c>
      <c r="Y336" s="26">
        <f>SUM($D$221:$D$222)*'TX SEDS'!Z168*$I$151</f>
        <v>5.1441088752267774</v>
      </c>
      <c r="Z336" s="26">
        <f>SUM($D$221:$D$222)*'TX SEDS'!AA168*$I$151</f>
        <v>5.1862831856350402</v>
      </c>
      <c r="AA336" s="26">
        <f>SUM($D$221:$D$222)*'TX SEDS'!AB168*$I$151</f>
        <v>5.228457496043303</v>
      </c>
      <c r="AB336" s="26">
        <f>SUM($D$221:$D$222)*'TX SEDS'!AC168*$I$151</f>
        <v>5.2706318064515658</v>
      </c>
      <c r="AC336" s="26">
        <f>SUM($D$221:$D$222)*'TX SEDS'!AD168*$I$151</f>
        <v>5.3128061168598286</v>
      </c>
      <c r="AD336" s="26">
        <f>SUM($D$221:$D$222)*'TX SEDS'!AE168*$I$151</f>
        <v>5.3549804272680914</v>
      </c>
      <c r="AE336" s="26">
        <f>SUM($D$221:$D$222)*'TX SEDS'!AF168*$I$151</f>
        <v>5.3971547376763542</v>
      </c>
      <c r="AF336" s="26">
        <f>SUM($D$221:$D$222)*'TX SEDS'!AG168*$I$151</f>
        <v>5.4393290480846161</v>
      </c>
      <c r="AG336" s="26">
        <f>SUM($D$221:$D$222)*'TX SEDS'!AH168*$I$151</f>
        <v>5.481503358492879</v>
      </c>
      <c r="AH336" s="26">
        <f>SUM($D$221:$D$222)*'TX SEDS'!AI168*$I$151</f>
        <v>5.5236776689011418</v>
      </c>
      <c r="AI336" s="26">
        <f>SUM($D$221:$D$222)*'TX SEDS'!AJ168*$I$151</f>
        <v>5.5658519793094099</v>
      </c>
      <c r="AJ336" s="26"/>
    </row>
    <row r="337" spans="1:39">
      <c r="A337" s="26" t="s">
        <v>796</v>
      </c>
      <c r="B337" s="26">
        <f>($I$135+$I$137)*'TX SEDS'!C173*SUM($K$221:$K$222)</f>
        <v>1.9347303214939675</v>
      </c>
      <c r="C337" s="26">
        <f>($I$135+$I$137)*'TX SEDS'!D173*SUM($K$221:$K$222)</f>
        <v>1.9304356026695026</v>
      </c>
      <c r="D337" s="26">
        <f>($I$135+$I$137)*'TX SEDS'!E173*SUM($K$221:$K$222)</f>
        <v>1.9261408838450376</v>
      </c>
      <c r="E337" s="26">
        <f>($I$135+$I$137)*'TX SEDS'!F173*SUM($K$221:$K$222)</f>
        <v>1.9218461650205727</v>
      </c>
      <c r="F337" s="26">
        <f>($I$135+$I$137)*'TX SEDS'!G173*SUM($K$221:$K$222)</f>
        <v>1.9175514461961076</v>
      </c>
      <c r="G337" s="26">
        <f>($I$135+$I$137)*'TX SEDS'!H173*SUM($K$221:$K$222)</f>
        <v>1.9132567273716425</v>
      </c>
      <c r="H337" s="26">
        <f>($I$135+$I$137)*'TX SEDS'!I173*SUM($K$221:$K$222)</f>
        <v>1.9089620085471777</v>
      </c>
      <c r="I337" s="26">
        <f>($I$135+$I$137)*'TX SEDS'!J173*SUM($K$221:$K$222)</f>
        <v>1.9046672897227126</v>
      </c>
      <c r="J337" s="26">
        <f>($I$135+$I$137)*'TX SEDS'!K173*SUM($K$221:$K$222)</f>
        <v>1.9003725708982477</v>
      </c>
      <c r="K337" s="26">
        <f>($I$135+$I$137)*'TX SEDS'!L173*SUM($K$221:$K$222)</f>
        <v>1.8960778520737831</v>
      </c>
      <c r="L337" s="26">
        <f>($I$135+$I$137)*'TX SEDS'!M173*SUM($K$221:$K$222)</f>
        <v>1.891783133249318</v>
      </c>
      <c r="M337" s="26">
        <f>($I$135+$I$137)*'TX SEDS'!N173*SUM($K$221:$K$222)</f>
        <v>1.8874884144248532</v>
      </c>
      <c r="N337" s="26">
        <f>($I$135+$I$137)*'TX SEDS'!O173*SUM($K$221:$K$222)</f>
        <v>1.8831936956003881</v>
      </c>
      <c r="O337" s="26">
        <f>($I$135+$I$137)*'TX SEDS'!P173*SUM($K$221:$K$222)</f>
        <v>1.878898976775923</v>
      </c>
      <c r="P337" s="26">
        <f>($I$135+$I$137)*'TX SEDS'!Q173*SUM($K$221:$K$222)</f>
        <v>1.8746042579514581</v>
      </c>
      <c r="Q337" s="26">
        <f>($I$135+$I$137)*'TX SEDS'!R173*SUM($K$221:$K$222)</f>
        <v>1.870309539126993</v>
      </c>
      <c r="R337" s="26">
        <f>($I$135+$I$137)*'TX SEDS'!S173*SUM($K$221:$K$222)</f>
        <v>1.8660148203025282</v>
      </c>
      <c r="S337" s="26">
        <f>($I$135+$I$137)*'TX SEDS'!T173*SUM($K$221:$K$222)</f>
        <v>1.8617201014780631</v>
      </c>
      <c r="T337" s="26">
        <f>($I$135+$I$137)*'TX SEDS'!U173*SUM($K$221:$K$222)</f>
        <v>1.857425382653598</v>
      </c>
      <c r="U337" s="26">
        <f>($I$135+$I$137)*'TX SEDS'!V173*SUM($K$221:$K$222)</f>
        <v>1.8531306638291332</v>
      </c>
      <c r="V337" s="26">
        <f>($I$135+$I$137)*'TX SEDS'!W173*SUM($K$221:$K$222)</f>
        <v>1.8488359450046681</v>
      </c>
      <c r="W337" s="26">
        <f>($I$135+$I$137)*'TX SEDS'!X173*SUM($K$221:$K$222)</f>
        <v>1.8445412261802032</v>
      </c>
      <c r="X337" s="26">
        <f>($I$135+$I$137)*'TX SEDS'!Y173*SUM($K$221:$K$222)</f>
        <v>1.8402465073557381</v>
      </c>
      <c r="Y337" s="26">
        <f>($I$135+$I$137)*'TX SEDS'!Z173*SUM($K$221:$K$222)</f>
        <v>1.8359517885312731</v>
      </c>
      <c r="Z337" s="26">
        <f>($I$135+$I$137)*'TX SEDS'!AA173*SUM($K$221:$K$222)</f>
        <v>1.8316570697068082</v>
      </c>
      <c r="AA337" s="26">
        <f>($I$135+$I$137)*'TX SEDS'!AB173*SUM($K$221:$K$222)</f>
        <v>1.8273623508823433</v>
      </c>
      <c r="AB337" s="26">
        <f>($I$135+$I$137)*'TX SEDS'!AC173*SUM($K$221:$K$222)</f>
        <v>1.8230676320578785</v>
      </c>
      <c r="AC337" s="26">
        <f>($I$135+$I$137)*'TX SEDS'!AD173*SUM($K$221:$K$222)</f>
        <v>1.8187729132334134</v>
      </c>
      <c r="AD337" s="26">
        <f>($I$135+$I$137)*'TX SEDS'!AE173*SUM($K$221:$K$222)</f>
        <v>1.8144781944089483</v>
      </c>
      <c r="AE337" s="26">
        <f>($I$135+$I$137)*'TX SEDS'!AF173*SUM($K$221:$K$222)</f>
        <v>1.8101834755844834</v>
      </c>
      <c r="AF337" s="26">
        <f>($I$135+$I$137)*'TX SEDS'!AG173*SUM($K$221:$K$222)</f>
        <v>1.8058887567600184</v>
      </c>
      <c r="AG337" s="26">
        <f>($I$135+$I$137)*'TX SEDS'!AH173*SUM($K$221:$K$222)</f>
        <v>1.8015940379355535</v>
      </c>
      <c r="AH337" s="26">
        <f>($I$135+$I$137)*'TX SEDS'!AI173*SUM($K$221:$K$222)</f>
        <v>1.7972993191110884</v>
      </c>
      <c r="AI337" s="26">
        <f>($I$135+$I$137)*'TX SEDS'!AJ173*SUM($K$221:$K$222)</f>
        <v>1.7930046002866247</v>
      </c>
      <c r="AJ337" s="26"/>
    </row>
    <row r="338" spans="1:39">
      <c r="A338" s="26" t="s">
        <v>1010</v>
      </c>
      <c r="B338" s="26">
        <f>$I$147*SUM($G$221:$G$222)*'TX SEDS'!C177</f>
        <v>3.0209606834515141</v>
      </c>
      <c r="C338" s="26">
        <f>$I$147*SUM($G$221:$G$222)*'TX SEDS'!D177</f>
        <v>3.0471195087269236</v>
      </c>
      <c r="D338" s="26">
        <f>$I$147*SUM($G$221:$G$222)*'TX SEDS'!E177</f>
        <v>3.0732783340023326</v>
      </c>
      <c r="E338" s="26">
        <f>$I$147*SUM($G$221:$G$222)*'TX SEDS'!F177</f>
        <v>3.0994371592777421</v>
      </c>
      <c r="F338" s="26">
        <f>$I$147*SUM($G$221:$G$222)*'TX SEDS'!G177</f>
        <v>3.1255959845531516</v>
      </c>
      <c r="G338" s="26">
        <f>$I$147*SUM($G$221:$G$222)*'TX SEDS'!H177</f>
        <v>3.151754809828561</v>
      </c>
      <c r="H338" s="26">
        <f>$I$147*SUM($G$221:$G$222)*'TX SEDS'!I177</f>
        <v>3.1779136351039705</v>
      </c>
      <c r="I338" s="26">
        <f>$I$147*SUM($G$221:$G$222)*'TX SEDS'!J177</f>
        <v>3.20407246037938</v>
      </c>
      <c r="J338" s="26">
        <f>$I$147*SUM($G$221:$G$222)*'TX SEDS'!K177</f>
        <v>3.2302312856547895</v>
      </c>
      <c r="K338" s="26">
        <f>$I$147*SUM($G$221:$G$222)*'TX SEDS'!L177</f>
        <v>3.2563901109301989</v>
      </c>
      <c r="L338" s="26">
        <f>$I$147*SUM($G$221:$G$222)*'TX SEDS'!M177</f>
        <v>3.2825489362056084</v>
      </c>
      <c r="M338" s="26">
        <f>$I$147*SUM($G$221:$G$222)*'TX SEDS'!N177</f>
        <v>3.3087077614810183</v>
      </c>
      <c r="N338" s="26">
        <f>$I$147*SUM($G$221:$G$222)*'TX SEDS'!O177</f>
        <v>3.3348665867564282</v>
      </c>
      <c r="O338" s="26">
        <f>$I$147*SUM($G$221:$G$222)*'TX SEDS'!P177</f>
        <v>3.3610254120318381</v>
      </c>
      <c r="P338" s="26">
        <f>$I$147*SUM($G$221:$G$222)*'TX SEDS'!Q177</f>
        <v>3.3871842373072476</v>
      </c>
      <c r="Q338" s="26">
        <f>$I$147*SUM($G$221:$G$222)*'TX SEDS'!R177</f>
        <v>3.4133430625826575</v>
      </c>
      <c r="R338" s="26">
        <f>$I$147*SUM($G$221:$G$222)*'TX SEDS'!S177</f>
        <v>3.4395018878580674</v>
      </c>
      <c r="S338" s="26">
        <f>$I$147*SUM($G$221:$G$222)*'TX SEDS'!T177</f>
        <v>3.4656607131334769</v>
      </c>
      <c r="T338" s="26">
        <f>$I$147*SUM($G$221:$G$222)*'TX SEDS'!U177</f>
        <v>3.4918195384088868</v>
      </c>
      <c r="U338" s="26">
        <f>$I$147*SUM($G$221:$G$222)*'TX SEDS'!V177</f>
        <v>3.5179783636842967</v>
      </c>
      <c r="V338" s="26">
        <f>$I$147*SUM($G$221:$G$222)*'TX SEDS'!W177</f>
        <v>3.5441371889597066</v>
      </c>
      <c r="W338" s="26">
        <f>$I$147*SUM($G$221:$G$222)*'TX SEDS'!X177</f>
        <v>3.5702960142351161</v>
      </c>
      <c r="X338" s="26">
        <f>$I$147*SUM($G$221:$G$222)*'TX SEDS'!Y177</f>
        <v>3.596454839510526</v>
      </c>
      <c r="Y338" s="26">
        <f>$I$147*SUM($G$221:$G$222)*'TX SEDS'!Z177</f>
        <v>3.6226136647859359</v>
      </c>
      <c r="Z338" s="26">
        <f>$I$147*SUM($G$221:$G$222)*'TX SEDS'!AA177</f>
        <v>3.6487724900613454</v>
      </c>
      <c r="AA338" s="26">
        <f>$I$147*SUM($G$221:$G$222)*'TX SEDS'!AB177</f>
        <v>3.6749313153367553</v>
      </c>
      <c r="AB338" s="26">
        <f>$I$147*SUM($G$221:$G$222)*'TX SEDS'!AC177</f>
        <v>3.7010901406121652</v>
      </c>
      <c r="AC338" s="26">
        <f>$I$147*SUM($G$221:$G$222)*'TX SEDS'!AD177</f>
        <v>3.7272489658875751</v>
      </c>
      <c r="AD338" s="26">
        <f>$I$147*SUM($G$221:$G$222)*'TX SEDS'!AE177</f>
        <v>3.7534077911629846</v>
      </c>
      <c r="AE338" s="26">
        <f>$I$147*SUM($G$221:$G$222)*'TX SEDS'!AF177</f>
        <v>3.7795666164383945</v>
      </c>
      <c r="AF338" s="26">
        <f>$I$147*SUM($G$221:$G$222)*'TX SEDS'!AG177</f>
        <v>3.8057254417138044</v>
      </c>
      <c r="AG338" s="26">
        <f>$I$147*SUM($G$221:$G$222)*'TX SEDS'!AH177</f>
        <v>3.8318842669892139</v>
      </c>
      <c r="AH338" s="26">
        <f>$I$147*SUM($G$221:$G$222)*'TX SEDS'!AI177</f>
        <v>3.8580430922646238</v>
      </c>
      <c r="AI338" s="26">
        <f>$I$147*SUM($G$221:$G$222)*'TX SEDS'!AJ177</f>
        <v>3.8842019175400306</v>
      </c>
      <c r="AJ338" s="26"/>
    </row>
    <row r="339" spans="1:39">
      <c r="A339" s="26" t="s">
        <v>339</v>
      </c>
      <c r="B339" s="26">
        <f>SUM($L$221:$L$222)*'TX SEDS'!C183*$I$157*$BI$106</f>
        <v>6.8113517693431908E-2</v>
      </c>
      <c r="C339" s="26">
        <f>SUM($L$221:$L$222)*'TX SEDS'!D183*$I$157*$BI$106</f>
        <v>6.8253574048355276E-2</v>
      </c>
      <c r="D339" s="26">
        <f>SUM($L$221:$L$222)*'TX SEDS'!E183*$I$157*$BI$106</f>
        <v>6.8393630403278657E-2</v>
      </c>
      <c r="E339" s="26">
        <f>SUM($L$221:$L$222)*'TX SEDS'!F183*$I$157*$BI$106</f>
        <v>6.8533686758202012E-2</v>
      </c>
      <c r="F339" s="26">
        <f>SUM($L$221:$L$222)*'TX SEDS'!G183*$I$157*$BI$106</f>
        <v>6.8673743113125379E-2</v>
      </c>
      <c r="G339" s="26">
        <f>SUM($L$221:$L$222)*'TX SEDS'!H183*$I$157*$BI$106</f>
        <v>6.8813799468048761E-2</v>
      </c>
      <c r="H339" s="26">
        <f>SUM($L$221:$L$222)*'TX SEDS'!I183*$I$157*$BI$106</f>
        <v>6.8953855822972102E-2</v>
      </c>
      <c r="I339" s="26">
        <f>SUM($L$221:$L$222)*'TX SEDS'!J183*$I$157*$BI$106</f>
        <v>6.9093912177895483E-2</v>
      </c>
      <c r="J339" s="26">
        <f>SUM($L$221:$L$222)*'TX SEDS'!K183*$I$157*$BI$106</f>
        <v>6.9233968532818851E-2</v>
      </c>
      <c r="K339" s="26">
        <f>SUM($L$221:$L$222)*'TX SEDS'!L183*$I$157*$BI$106</f>
        <v>6.9374024887742206E-2</v>
      </c>
      <c r="L339" s="26">
        <f>SUM($L$221:$L$222)*'TX SEDS'!M183*$I$157*$BI$106</f>
        <v>6.9514081242665587E-2</v>
      </c>
      <c r="M339" s="26">
        <f>SUM($L$221:$L$222)*'TX SEDS'!N183*$I$157*$BI$106</f>
        <v>6.9654137597588955E-2</v>
      </c>
      <c r="N339" s="26">
        <f>SUM($L$221:$L$222)*'TX SEDS'!O183*$I$157*$BI$106</f>
        <v>6.979419395251231E-2</v>
      </c>
      <c r="O339" s="26">
        <f>SUM($L$221:$L$222)*'TX SEDS'!P183*$I$157*$BI$106</f>
        <v>6.9934250307435677E-2</v>
      </c>
      <c r="P339" s="26">
        <f>SUM($L$221:$L$222)*'TX SEDS'!Q183*$I$157*$BI$106</f>
        <v>7.0074306662359045E-2</v>
      </c>
      <c r="Q339" s="26">
        <f>SUM($L$221:$L$222)*'TX SEDS'!R183*$I$157*$BI$106</f>
        <v>7.0214363017282413E-2</v>
      </c>
      <c r="R339" s="26">
        <f>SUM($L$221:$L$222)*'TX SEDS'!S183*$I$157*$BI$106</f>
        <v>7.0354419372205781E-2</v>
      </c>
      <c r="S339" s="26">
        <f>SUM($L$221:$L$222)*'TX SEDS'!T183*$I$157*$BI$106</f>
        <v>7.0494475727129149E-2</v>
      </c>
      <c r="T339" s="26">
        <f>SUM($L$221:$L$222)*'TX SEDS'!U183*$I$157*$BI$106</f>
        <v>7.0634532082052517E-2</v>
      </c>
      <c r="U339" s="26">
        <f>SUM($L$221:$L$222)*'TX SEDS'!V183*$I$157*$BI$106</f>
        <v>7.0774588436975872E-2</v>
      </c>
      <c r="V339" s="26">
        <f>SUM($L$221:$L$222)*'TX SEDS'!W183*$I$157*$BI$106</f>
        <v>7.091464479189924E-2</v>
      </c>
      <c r="W339" s="26">
        <f>SUM($L$221:$L$222)*'TX SEDS'!X183*$I$157*$BI$106</f>
        <v>7.1054701146822621E-2</v>
      </c>
      <c r="X339" s="26">
        <f>SUM($L$221:$L$222)*'TX SEDS'!Y183*$I$157*$BI$106</f>
        <v>7.1194757501745976E-2</v>
      </c>
      <c r="Y339" s="26">
        <f>SUM($L$221:$L$222)*'TX SEDS'!Z183*$I$157*$BI$106</f>
        <v>7.1334813856669343E-2</v>
      </c>
      <c r="Z339" s="26">
        <f>SUM($L$221:$L$222)*'TX SEDS'!AA183*$I$157*$BI$106</f>
        <v>7.1474870211592711E-2</v>
      </c>
      <c r="AA339" s="26">
        <f>SUM($L$221:$L$222)*'TX SEDS'!AB183*$I$157*$BI$106</f>
        <v>7.1614926566516066E-2</v>
      </c>
      <c r="AB339" s="26">
        <f>SUM($L$221:$L$222)*'TX SEDS'!AC183*$I$157*$BI$106</f>
        <v>7.1754982921439447E-2</v>
      </c>
      <c r="AC339" s="26">
        <f>SUM($L$221:$L$222)*'TX SEDS'!AD183*$I$157*$BI$106</f>
        <v>7.1895039276362815E-2</v>
      </c>
      <c r="AD339" s="26">
        <f>SUM($L$221:$L$222)*'TX SEDS'!AE183*$I$157*$BI$106</f>
        <v>7.203509563128617E-2</v>
      </c>
      <c r="AE339" s="26">
        <f>SUM($L$221:$L$222)*'TX SEDS'!AF183*$I$157*$BI$106</f>
        <v>7.2175151986209538E-2</v>
      </c>
      <c r="AF339" s="26">
        <f>SUM($L$221:$L$222)*'TX SEDS'!AG183*$I$157*$BI$106</f>
        <v>7.2315208341132906E-2</v>
      </c>
      <c r="AG339" s="26">
        <f>SUM($L$221:$L$222)*'TX SEDS'!AH183*$I$157*$BI$106</f>
        <v>7.2455264696056274E-2</v>
      </c>
      <c r="AH339" s="26">
        <f>SUM($L$221:$L$222)*'TX SEDS'!AI183*$I$157*$BI$106</f>
        <v>7.2595321050979641E-2</v>
      </c>
      <c r="AI339" s="26">
        <f>SUM($L$221:$L$222)*'TX SEDS'!AJ183*$I$157*$BI$106</f>
        <v>7.2735377405903065E-2</v>
      </c>
      <c r="AJ339" s="26"/>
    </row>
    <row r="340" spans="1:39">
      <c r="A340" s="26" t="s">
        <v>1011</v>
      </c>
      <c r="B340" s="26">
        <f>$I$140*SUM($F$221:$F$222)*'TX SEDS'!C187</f>
        <v>1.005488842498212</v>
      </c>
      <c r="C340" s="26">
        <f>$I$140*SUM($F$221:$F$222)*'TX SEDS'!D187</f>
        <v>1.0177872787597246</v>
      </c>
      <c r="D340" s="26">
        <f>$I$140*SUM($F$221:$F$222)*'TX SEDS'!E187</f>
        <v>1.0300857150212372</v>
      </c>
      <c r="E340" s="26">
        <f>$I$140*SUM($F$221:$F$222)*'TX SEDS'!F187</f>
        <v>1.0423841512827496</v>
      </c>
      <c r="F340" s="26">
        <f>$I$140*SUM($F$221:$F$222)*'TX SEDS'!G187</f>
        <v>1.0546825875442623</v>
      </c>
      <c r="G340" s="26">
        <f>$I$140*SUM($F$221:$F$222)*'TX SEDS'!H187</f>
        <v>1.0669810238057749</v>
      </c>
      <c r="H340" s="26">
        <f>$I$140*SUM($F$221:$F$222)*'TX SEDS'!I187</f>
        <v>1.0792794600672873</v>
      </c>
      <c r="I340" s="26">
        <f>$I$140*SUM($F$221:$F$222)*'TX SEDS'!J187</f>
        <v>1.0915778963287999</v>
      </c>
      <c r="J340" s="26">
        <f>$I$140*SUM($F$221:$F$222)*'TX SEDS'!K187</f>
        <v>1.1038763325903125</v>
      </c>
      <c r="K340" s="26">
        <f>$I$140*SUM($F$221:$F$222)*'TX SEDS'!L187</f>
        <v>1.1161747688518249</v>
      </c>
      <c r="L340" s="26">
        <f>$I$140*SUM($F$221:$F$222)*'TX SEDS'!M187</f>
        <v>1.1284732051133375</v>
      </c>
      <c r="M340" s="26">
        <f>$I$140*SUM($F$221:$F$222)*'TX SEDS'!N187</f>
        <v>1.1407716413748499</v>
      </c>
      <c r="N340" s="26">
        <f>$I$140*SUM($F$221:$F$222)*'TX SEDS'!O187</f>
        <v>1.1530700776363625</v>
      </c>
      <c r="O340" s="26">
        <f>$I$140*SUM($F$221:$F$222)*'TX SEDS'!P187</f>
        <v>1.1653685138978751</v>
      </c>
      <c r="P340" s="26">
        <f>$I$140*SUM($F$221:$F$222)*'TX SEDS'!Q187</f>
        <v>1.1776669501593875</v>
      </c>
      <c r="Q340" s="26">
        <f>$I$140*SUM($F$221:$F$222)*'TX SEDS'!R187</f>
        <v>1.1899653864209001</v>
      </c>
      <c r="R340" s="26">
        <f>$I$140*SUM($F$221:$F$222)*'TX SEDS'!S187</f>
        <v>1.2022638226824127</v>
      </c>
      <c r="S340" s="26">
        <f>$I$140*SUM($F$221:$F$222)*'TX SEDS'!T187</f>
        <v>1.2145622589439251</v>
      </c>
      <c r="T340" s="26">
        <f>$I$140*SUM($F$221:$F$222)*'TX SEDS'!U187</f>
        <v>1.2268606952054377</v>
      </c>
      <c r="U340" s="26">
        <f>$I$140*SUM($F$221:$F$222)*'TX SEDS'!V187</f>
        <v>1.2391591314669503</v>
      </c>
      <c r="V340" s="26">
        <f>$I$140*SUM($F$221:$F$222)*'TX SEDS'!W187</f>
        <v>1.2514575677284627</v>
      </c>
      <c r="W340" s="26">
        <f>$I$140*SUM($F$221:$F$222)*'TX SEDS'!X187</f>
        <v>1.2637560039899753</v>
      </c>
      <c r="X340" s="26">
        <f>$I$140*SUM($F$221:$F$222)*'TX SEDS'!Y187</f>
        <v>1.276054440251488</v>
      </c>
      <c r="Y340" s="26">
        <f>$I$140*SUM($F$221:$F$222)*'TX SEDS'!Z187</f>
        <v>1.2883528765130003</v>
      </c>
      <c r="Z340" s="26">
        <f>$I$140*SUM($F$221:$F$222)*'TX SEDS'!AA187</f>
        <v>1.300651312774513</v>
      </c>
      <c r="AA340" s="26">
        <f>$I$140*SUM($F$221:$F$222)*'TX SEDS'!AB187</f>
        <v>1.3129497490360253</v>
      </c>
      <c r="AB340" s="26">
        <f>$I$140*SUM($F$221:$F$222)*'TX SEDS'!AC187</f>
        <v>1.325248185297538</v>
      </c>
      <c r="AC340" s="26">
        <f>$I$140*SUM($F$221:$F$222)*'TX SEDS'!AD187</f>
        <v>1.3375466215590506</v>
      </c>
      <c r="AD340" s="26">
        <f>$I$140*SUM($F$221:$F$222)*'TX SEDS'!AE187</f>
        <v>1.349845057820563</v>
      </c>
      <c r="AE340" s="26">
        <f>$I$140*SUM($F$221:$F$222)*'TX SEDS'!AF187</f>
        <v>1.3621434940820756</v>
      </c>
      <c r="AF340" s="26">
        <f>$I$140*SUM($F$221:$F$222)*'TX SEDS'!AG187</f>
        <v>1.3744419303435882</v>
      </c>
      <c r="AG340" s="26">
        <f>$I$140*SUM($F$221:$F$222)*'TX SEDS'!AH187</f>
        <v>1.3867403666051006</v>
      </c>
      <c r="AH340" s="26">
        <f>$I$140*SUM($F$221:$F$222)*'TX SEDS'!AI187</f>
        <v>1.3990388028666132</v>
      </c>
      <c r="AI340" s="26">
        <f>$I$140*SUM($F$221:$F$222)*'TX SEDS'!AJ187</f>
        <v>1.4113372391281263</v>
      </c>
      <c r="AJ340" s="26"/>
    </row>
    <row r="341" spans="1:39">
      <c r="A341" s="26" t="s">
        <v>1012</v>
      </c>
      <c r="B341" s="26">
        <v>0</v>
      </c>
      <c r="C341" s="26">
        <f>B341</f>
        <v>0</v>
      </c>
      <c r="D341" s="26">
        <f t="shared" ref="D341:E341" si="117">C341</f>
        <v>0</v>
      </c>
      <c r="E341" s="26">
        <f t="shared" si="117"/>
        <v>0</v>
      </c>
      <c r="F341" s="26">
        <f t="shared" ref="F341:H341" si="118">E341</f>
        <v>0</v>
      </c>
      <c r="G341" s="26">
        <f t="shared" si="118"/>
        <v>0</v>
      </c>
      <c r="H341" s="26">
        <f t="shared" si="118"/>
        <v>0</v>
      </c>
      <c r="I341" s="26">
        <f t="shared" ref="I341:AI341" si="119">H341</f>
        <v>0</v>
      </c>
      <c r="J341" s="26">
        <f t="shared" si="119"/>
        <v>0</v>
      </c>
      <c r="K341" s="26">
        <f t="shared" si="119"/>
        <v>0</v>
      </c>
      <c r="L341" s="26">
        <f t="shared" si="119"/>
        <v>0</v>
      </c>
      <c r="M341" s="26">
        <f t="shared" si="119"/>
        <v>0</v>
      </c>
      <c r="N341" s="26">
        <f t="shared" si="119"/>
        <v>0</v>
      </c>
      <c r="O341" s="26">
        <f t="shared" si="119"/>
        <v>0</v>
      </c>
      <c r="P341" s="26">
        <f t="shared" si="119"/>
        <v>0</v>
      </c>
      <c r="Q341" s="26">
        <f t="shared" si="119"/>
        <v>0</v>
      </c>
      <c r="R341" s="26">
        <f t="shared" si="119"/>
        <v>0</v>
      </c>
      <c r="S341" s="26">
        <f t="shared" si="119"/>
        <v>0</v>
      </c>
      <c r="T341" s="26">
        <f t="shared" si="119"/>
        <v>0</v>
      </c>
      <c r="U341" s="26">
        <f t="shared" si="119"/>
        <v>0</v>
      </c>
      <c r="V341" s="26">
        <f t="shared" si="119"/>
        <v>0</v>
      </c>
      <c r="W341" s="26">
        <f t="shared" si="119"/>
        <v>0</v>
      </c>
      <c r="X341" s="26">
        <f t="shared" si="119"/>
        <v>0</v>
      </c>
      <c r="Y341" s="26">
        <f t="shared" si="119"/>
        <v>0</v>
      </c>
      <c r="Z341" s="26">
        <f t="shared" si="119"/>
        <v>0</v>
      </c>
      <c r="AA341" s="26">
        <f t="shared" si="119"/>
        <v>0</v>
      </c>
      <c r="AB341" s="26">
        <f t="shared" si="119"/>
        <v>0</v>
      </c>
      <c r="AC341" s="26">
        <f t="shared" si="119"/>
        <v>0</v>
      </c>
      <c r="AD341" s="26">
        <f t="shared" si="119"/>
        <v>0</v>
      </c>
      <c r="AE341" s="26">
        <f t="shared" si="119"/>
        <v>0</v>
      </c>
      <c r="AF341" s="26">
        <f t="shared" si="119"/>
        <v>0</v>
      </c>
      <c r="AG341" s="26">
        <f t="shared" si="119"/>
        <v>0</v>
      </c>
      <c r="AH341" s="26">
        <f t="shared" si="119"/>
        <v>0</v>
      </c>
      <c r="AI341" s="26">
        <f t="shared" si="119"/>
        <v>0</v>
      </c>
      <c r="AJ341" s="26"/>
    </row>
    <row r="342" spans="1:39">
      <c r="A342" s="26" t="s">
        <v>323</v>
      </c>
      <c r="B342" s="26">
        <v>0</v>
      </c>
      <c r="C342" s="26">
        <f>B342</f>
        <v>0</v>
      </c>
      <c r="D342" s="26">
        <f t="shared" ref="D342:E342" si="120">C342</f>
        <v>0</v>
      </c>
      <c r="E342" s="26">
        <f t="shared" si="120"/>
        <v>0</v>
      </c>
      <c r="F342" s="26">
        <f t="shared" ref="F342:H342" si="121">E342</f>
        <v>0</v>
      </c>
      <c r="G342" s="26">
        <f t="shared" si="121"/>
        <v>0</v>
      </c>
      <c r="H342" s="26">
        <f t="shared" si="121"/>
        <v>0</v>
      </c>
      <c r="I342" s="26">
        <f t="shared" ref="I342:AI342" si="122">H342</f>
        <v>0</v>
      </c>
      <c r="J342" s="26">
        <f t="shared" si="122"/>
        <v>0</v>
      </c>
      <c r="K342" s="26">
        <f t="shared" si="122"/>
        <v>0</v>
      </c>
      <c r="L342" s="26">
        <f t="shared" si="122"/>
        <v>0</v>
      </c>
      <c r="M342" s="26">
        <f t="shared" si="122"/>
        <v>0</v>
      </c>
      <c r="N342" s="26">
        <f t="shared" si="122"/>
        <v>0</v>
      </c>
      <c r="O342" s="26">
        <f t="shared" si="122"/>
        <v>0</v>
      </c>
      <c r="P342" s="26">
        <f t="shared" si="122"/>
        <v>0</v>
      </c>
      <c r="Q342" s="26">
        <f t="shared" si="122"/>
        <v>0</v>
      </c>
      <c r="R342" s="26">
        <f t="shared" si="122"/>
        <v>0</v>
      </c>
      <c r="S342" s="26">
        <f t="shared" si="122"/>
        <v>0</v>
      </c>
      <c r="T342" s="26">
        <f t="shared" si="122"/>
        <v>0</v>
      </c>
      <c r="U342" s="26">
        <f t="shared" si="122"/>
        <v>0</v>
      </c>
      <c r="V342" s="26">
        <f t="shared" si="122"/>
        <v>0</v>
      </c>
      <c r="W342" s="26">
        <f t="shared" si="122"/>
        <v>0</v>
      </c>
      <c r="X342" s="26">
        <f t="shared" si="122"/>
        <v>0</v>
      </c>
      <c r="Y342" s="26">
        <f t="shared" si="122"/>
        <v>0</v>
      </c>
      <c r="Z342" s="26">
        <f t="shared" si="122"/>
        <v>0</v>
      </c>
      <c r="AA342" s="26">
        <f t="shared" si="122"/>
        <v>0</v>
      </c>
      <c r="AB342" s="26">
        <f t="shared" si="122"/>
        <v>0</v>
      </c>
      <c r="AC342" s="26">
        <f t="shared" si="122"/>
        <v>0</v>
      </c>
      <c r="AD342" s="26">
        <f t="shared" si="122"/>
        <v>0</v>
      </c>
      <c r="AE342" s="26">
        <f t="shared" si="122"/>
        <v>0</v>
      </c>
      <c r="AF342" s="26">
        <f t="shared" si="122"/>
        <v>0</v>
      </c>
      <c r="AG342" s="26">
        <f t="shared" si="122"/>
        <v>0</v>
      </c>
      <c r="AH342" s="26">
        <f t="shared" si="122"/>
        <v>0</v>
      </c>
      <c r="AI342" s="26">
        <f t="shared" si="122"/>
        <v>0</v>
      </c>
      <c r="AJ342" s="26"/>
    </row>
    <row r="343" spans="1:39">
      <c r="A343" s="26" t="s">
        <v>342</v>
      </c>
      <c r="B343" s="26">
        <f>$I$154*SUM($E$221:$E$222)*'TX SEDS'!C197</f>
        <v>0</v>
      </c>
      <c r="C343" s="26">
        <f>$I$154*SUM($E$221:$E$222)*'TX SEDS'!D197</f>
        <v>0</v>
      </c>
      <c r="D343" s="26">
        <f>$I$154*SUM($E$221:$E$222)*'TX SEDS'!E197</f>
        <v>0</v>
      </c>
      <c r="E343" s="26">
        <f>$I$154*SUM($E$221:$E$222)*'TX SEDS'!F197</f>
        <v>0</v>
      </c>
      <c r="F343" s="26">
        <f>$I$154*SUM($E$221:$E$222)*'TX SEDS'!G197</f>
        <v>0</v>
      </c>
      <c r="G343" s="26">
        <f>$I$154*SUM($E$221:$E$222)*'TX SEDS'!H197</f>
        <v>0</v>
      </c>
      <c r="H343" s="26">
        <f>$I$154*SUM($E$221:$E$222)*'TX SEDS'!I197</f>
        <v>0</v>
      </c>
      <c r="I343" s="26">
        <f>$I$154*SUM($E$221:$E$222)*'TX SEDS'!J197</f>
        <v>0</v>
      </c>
      <c r="J343" s="26">
        <f>$I$154*SUM($E$221:$E$222)*'TX SEDS'!K197</f>
        <v>0</v>
      </c>
      <c r="K343" s="26">
        <f>$I$154*SUM($E$221:$E$222)*'TX SEDS'!L197</f>
        <v>0</v>
      </c>
      <c r="L343" s="26">
        <f>$I$154*SUM($E$221:$E$222)*'TX SEDS'!M197</f>
        <v>0</v>
      </c>
      <c r="M343" s="26">
        <f>$I$154*SUM($E$221:$E$222)*'TX SEDS'!N197</f>
        <v>0</v>
      </c>
      <c r="N343" s="26">
        <f>$I$154*SUM($E$221:$E$222)*'TX SEDS'!O197</f>
        <v>0</v>
      </c>
      <c r="O343" s="26">
        <f>$I$154*SUM($E$221:$E$222)*'TX SEDS'!P197</f>
        <v>0</v>
      </c>
      <c r="P343" s="26">
        <f>$I$154*SUM($E$221:$E$222)*'TX SEDS'!Q197</f>
        <v>0</v>
      </c>
      <c r="Q343" s="26">
        <f>$I$154*SUM($E$221:$E$222)*'TX SEDS'!R197</f>
        <v>0</v>
      </c>
      <c r="R343" s="26">
        <f>$I$154*SUM($E$221:$E$222)*'TX SEDS'!S197</f>
        <v>0</v>
      </c>
      <c r="S343" s="26">
        <f>$I$154*SUM($E$221:$E$222)*'TX SEDS'!T197</f>
        <v>0</v>
      </c>
      <c r="T343" s="26">
        <f>$I$154*SUM($E$221:$E$222)*'TX SEDS'!U197</f>
        <v>0</v>
      </c>
      <c r="U343" s="26">
        <f>$I$154*SUM($E$221:$E$222)*'TX SEDS'!V197</f>
        <v>0</v>
      </c>
      <c r="V343" s="26">
        <f>$I$154*SUM($E$221:$E$222)*'TX SEDS'!W197</f>
        <v>0</v>
      </c>
      <c r="W343" s="26">
        <f>$I$154*SUM($E$221:$E$222)*'TX SEDS'!X197</f>
        <v>0</v>
      </c>
      <c r="X343" s="26">
        <f>$I$154*SUM($E$221:$E$222)*'TX SEDS'!Y197</f>
        <v>0</v>
      </c>
      <c r="Y343" s="26">
        <f>$I$154*SUM($E$221:$E$222)*'TX SEDS'!Z197</f>
        <v>0</v>
      </c>
      <c r="Z343" s="26">
        <f>$I$154*SUM($E$221:$E$222)*'TX SEDS'!AA197</f>
        <v>0</v>
      </c>
      <c r="AA343" s="26">
        <f>$I$154*SUM($E$221:$E$222)*'TX SEDS'!AB197</f>
        <v>0</v>
      </c>
      <c r="AB343" s="26">
        <f>$I$154*SUM($E$221:$E$222)*'TX SEDS'!AC197</f>
        <v>0</v>
      </c>
      <c r="AC343" s="26">
        <f>$I$154*SUM($E$221:$E$222)*'TX SEDS'!AD197</f>
        <v>0</v>
      </c>
      <c r="AD343" s="26">
        <f>$I$154*SUM($E$221:$E$222)*'TX SEDS'!AE197</f>
        <v>0</v>
      </c>
      <c r="AE343" s="26">
        <f>$I$154*SUM($E$221:$E$222)*'TX SEDS'!AF197</f>
        <v>0</v>
      </c>
      <c r="AF343" s="26">
        <f>$I$154*SUM($E$221:$E$222)*'TX SEDS'!AG197</f>
        <v>0</v>
      </c>
      <c r="AG343" s="26">
        <f>$I$154*SUM($E$221:$E$222)*'TX SEDS'!AH197</f>
        <v>0</v>
      </c>
      <c r="AH343" s="26">
        <f>$I$154*SUM($E$221:$E$222)*'TX SEDS'!AI197</f>
        <v>0</v>
      </c>
      <c r="AI343" s="26">
        <f>$I$154*SUM($E$221:$E$222)*'TX SEDS'!AJ197</f>
        <v>0</v>
      </c>
      <c r="AJ343" s="26"/>
    </row>
    <row r="344" spans="1:39">
      <c r="A344" s="26" t="s">
        <v>1013</v>
      </c>
      <c r="B344" s="26">
        <f>$I$144*SUM($H$221:$H$222)*'TX SEDS'!C201</f>
        <v>0</v>
      </c>
      <c r="C344" s="26">
        <f>$I$144*SUM($H$221:$H$222)*'TX SEDS'!D201</f>
        <v>0</v>
      </c>
      <c r="D344" s="26">
        <f>$I$144*SUM($H$221:$H$222)*'TX SEDS'!E201</f>
        <v>0</v>
      </c>
      <c r="E344" s="26">
        <f>$I$144*SUM($H$221:$H$222)*'TX SEDS'!F201</f>
        <v>0</v>
      </c>
      <c r="F344" s="26">
        <f>$I$144*SUM($H$221:$H$222)*'TX SEDS'!G201</f>
        <v>0</v>
      </c>
      <c r="G344" s="26">
        <f>$I$144*SUM($H$221:$H$222)*'TX SEDS'!H201</f>
        <v>0</v>
      </c>
      <c r="H344" s="26">
        <f>$I$144*SUM($H$221:$H$222)*'TX SEDS'!I201</f>
        <v>0</v>
      </c>
      <c r="I344" s="26">
        <f>$I$144*SUM($H$221:$H$222)*'TX SEDS'!J201</f>
        <v>0</v>
      </c>
      <c r="J344" s="26">
        <f>$I$144*SUM($H$221:$H$222)*'TX SEDS'!K201</f>
        <v>0</v>
      </c>
      <c r="K344" s="26">
        <f>$I$144*SUM($H$221:$H$222)*'TX SEDS'!L201</f>
        <v>0</v>
      </c>
      <c r="L344" s="26">
        <f>$I$144*SUM($H$221:$H$222)*'TX SEDS'!M201</f>
        <v>0</v>
      </c>
      <c r="M344" s="26">
        <f>$I$144*SUM($H$221:$H$222)*'TX SEDS'!N201</f>
        <v>0</v>
      </c>
      <c r="N344" s="26">
        <f>$I$144*SUM($H$221:$H$222)*'TX SEDS'!O201</f>
        <v>0</v>
      </c>
      <c r="O344" s="26">
        <f>$I$144*SUM($H$221:$H$222)*'TX SEDS'!P201</f>
        <v>0</v>
      </c>
      <c r="P344" s="26">
        <f>$I$144*SUM($H$221:$H$222)*'TX SEDS'!Q201</f>
        <v>0</v>
      </c>
      <c r="Q344" s="26">
        <f>$I$144*SUM($H$221:$H$222)*'TX SEDS'!R201</f>
        <v>0</v>
      </c>
      <c r="R344" s="26">
        <f>$I$144*SUM($H$221:$H$222)*'TX SEDS'!S201</f>
        <v>0</v>
      </c>
      <c r="S344" s="26">
        <f>$I$144*SUM($H$221:$H$222)*'TX SEDS'!T201</f>
        <v>0</v>
      </c>
      <c r="T344" s="26">
        <f>$I$144*SUM($H$221:$H$222)*'TX SEDS'!U201</f>
        <v>0</v>
      </c>
      <c r="U344" s="26">
        <f>$I$144*SUM($H$221:$H$222)*'TX SEDS'!V201</f>
        <v>0</v>
      </c>
      <c r="V344" s="26">
        <f>$I$144*SUM($H$221:$H$222)*'TX SEDS'!W201</f>
        <v>0</v>
      </c>
      <c r="W344" s="26">
        <f>$I$144*SUM($H$221:$H$222)*'TX SEDS'!X201</f>
        <v>0</v>
      </c>
      <c r="X344" s="26">
        <f>$I$144*SUM($H$221:$H$222)*'TX SEDS'!Y201</f>
        <v>0</v>
      </c>
      <c r="Y344" s="26">
        <f>$I$144*SUM($H$221:$H$222)*'TX SEDS'!Z201</f>
        <v>0</v>
      </c>
      <c r="Z344" s="26">
        <f>$I$144*SUM($H$221:$H$222)*'TX SEDS'!AA201</f>
        <v>0</v>
      </c>
      <c r="AA344" s="26">
        <f>$I$144*SUM($H$221:$H$222)*'TX SEDS'!AB201</f>
        <v>0</v>
      </c>
      <c r="AB344" s="26">
        <f>$I$144*SUM($H$221:$H$222)*'TX SEDS'!AC201</f>
        <v>0</v>
      </c>
      <c r="AC344" s="26">
        <f>$I$144*SUM($H$221:$H$222)*'TX SEDS'!AD201</f>
        <v>0</v>
      </c>
      <c r="AD344" s="26">
        <f>$I$144*SUM($H$221:$H$222)*'TX SEDS'!AE201</f>
        <v>0</v>
      </c>
      <c r="AE344" s="26">
        <f>$I$144*SUM($H$221:$H$222)*'TX SEDS'!AF201</f>
        <v>0</v>
      </c>
      <c r="AF344" s="26">
        <f>$I$144*SUM($H$221:$H$222)*'TX SEDS'!AG201</f>
        <v>0</v>
      </c>
      <c r="AG344" s="26">
        <f>$I$144*SUM($H$221:$H$222)*'TX SEDS'!AH201</f>
        <v>0</v>
      </c>
      <c r="AH344" s="26">
        <f>$I$144*SUM($H$221:$H$222)*'TX SEDS'!AI201</f>
        <v>0</v>
      </c>
      <c r="AI344" s="26">
        <f>$I$144*SUM($H$221:$H$222)*'TX SEDS'!AJ201</f>
        <v>0</v>
      </c>
      <c r="AJ344" s="26"/>
    </row>
    <row r="345" spans="1:39">
      <c r="A345" s="26" t="s">
        <v>1014</v>
      </c>
      <c r="B345" s="26">
        <v>0</v>
      </c>
      <c r="C345" s="26">
        <f>B345</f>
        <v>0</v>
      </c>
      <c r="D345" s="26">
        <f t="shared" ref="D345:F345" si="123">C345</f>
        <v>0</v>
      </c>
      <c r="E345" s="26">
        <f t="shared" si="123"/>
        <v>0</v>
      </c>
      <c r="F345" s="26">
        <f t="shared" si="123"/>
        <v>0</v>
      </c>
      <c r="G345" s="26">
        <f t="shared" ref="G345:AI345" si="124">F345</f>
        <v>0</v>
      </c>
      <c r="H345" s="26">
        <f t="shared" si="124"/>
        <v>0</v>
      </c>
      <c r="I345" s="26">
        <f t="shared" si="124"/>
        <v>0</v>
      </c>
      <c r="J345" s="26">
        <f t="shared" si="124"/>
        <v>0</v>
      </c>
      <c r="K345" s="26">
        <f t="shared" si="124"/>
        <v>0</v>
      </c>
      <c r="L345" s="26">
        <f t="shared" si="124"/>
        <v>0</v>
      </c>
      <c r="M345" s="26">
        <f t="shared" si="124"/>
        <v>0</v>
      </c>
      <c r="N345" s="26">
        <f t="shared" si="124"/>
        <v>0</v>
      </c>
      <c r="O345" s="26">
        <f t="shared" si="124"/>
        <v>0</v>
      </c>
      <c r="P345" s="26">
        <f t="shared" si="124"/>
        <v>0</v>
      </c>
      <c r="Q345" s="26">
        <f t="shared" si="124"/>
        <v>0</v>
      </c>
      <c r="R345" s="26">
        <f t="shared" si="124"/>
        <v>0</v>
      </c>
      <c r="S345" s="26">
        <f t="shared" si="124"/>
        <v>0</v>
      </c>
      <c r="T345" s="26">
        <f t="shared" si="124"/>
        <v>0</v>
      </c>
      <c r="U345" s="26">
        <f t="shared" si="124"/>
        <v>0</v>
      </c>
      <c r="V345" s="26">
        <f t="shared" si="124"/>
        <v>0</v>
      </c>
      <c r="W345" s="26">
        <f t="shared" si="124"/>
        <v>0</v>
      </c>
      <c r="X345" s="26">
        <f t="shared" si="124"/>
        <v>0</v>
      </c>
      <c r="Y345" s="26">
        <f t="shared" si="124"/>
        <v>0</v>
      </c>
      <c r="Z345" s="26">
        <f t="shared" si="124"/>
        <v>0</v>
      </c>
      <c r="AA345" s="26">
        <f t="shared" si="124"/>
        <v>0</v>
      </c>
      <c r="AB345" s="26">
        <f t="shared" si="124"/>
        <v>0</v>
      </c>
      <c r="AC345" s="26">
        <f t="shared" si="124"/>
        <v>0</v>
      </c>
      <c r="AD345" s="26">
        <f t="shared" si="124"/>
        <v>0</v>
      </c>
      <c r="AE345" s="26">
        <f t="shared" si="124"/>
        <v>0</v>
      </c>
      <c r="AF345" s="26">
        <f t="shared" si="124"/>
        <v>0</v>
      </c>
      <c r="AG345" s="26">
        <f t="shared" si="124"/>
        <v>0</v>
      </c>
      <c r="AH345" s="26">
        <f t="shared" si="124"/>
        <v>0</v>
      </c>
      <c r="AI345" s="26">
        <f t="shared" si="124"/>
        <v>0</v>
      </c>
      <c r="AJ345" s="26"/>
    </row>
    <row r="346" spans="1:39">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spans="1:39">
      <c r="A347" s="41" t="s">
        <v>567</v>
      </c>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spans="1:39">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M348" s="319"/>
    </row>
    <row r="349" spans="1:39">
      <c r="A349" s="26" t="s">
        <v>813</v>
      </c>
      <c r="B349" s="26">
        <f>((SUM($D$215:$D$218)*$I$151)+(G257*I152))*'TX SEDS'!C168</f>
        <v>125.03601250962409</v>
      </c>
      <c r="C349" s="26">
        <f>((SUM($D$215:$D$218)*$I$151)+(H257*J152))*'TX SEDS'!D168</f>
        <v>21.303279391553669</v>
      </c>
      <c r="D349" s="26">
        <f>((SUM($D$215:$D$218)*$I$151)+(I257*K152))*'TX SEDS'!E168</f>
        <v>21.516370644142786</v>
      </c>
      <c r="E349" s="26">
        <f>((SUM($D$215:$D$218)*$I$151)+(J257*L152))*'TX SEDS'!F168</f>
        <v>21.729461896731905</v>
      </c>
      <c r="F349" s="26">
        <f>((SUM($D$215:$D$218)*$I$151)+(K257*M152))*'TX SEDS'!G168</f>
        <v>21.942553149321022</v>
      </c>
      <c r="G349" s="26">
        <f>((SUM($D$215:$D$218)*$I$151)+(L257*N152))*'TX SEDS'!H168</f>
        <v>22.155644401910138</v>
      </c>
      <c r="H349" s="26">
        <f>((SUM($D$215:$D$218)*$I$151)+(M257*O152))*'TX SEDS'!I168</f>
        <v>22.368735654499254</v>
      </c>
      <c r="I349" s="26">
        <f>((SUM($D$215:$D$218)*$I$151)+(N257*P152))*'TX SEDS'!J168</f>
        <v>22.58182690708837</v>
      </c>
      <c r="J349" s="26">
        <f>((SUM($D$215:$D$218)*$I$151)+(O257*Q152))*'TX SEDS'!K168</f>
        <v>22.79491815967749</v>
      </c>
      <c r="K349" s="26">
        <f>((SUM($D$215:$D$218)*$I$151)+(P257*R152))*'TX SEDS'!L168</f>
        <v>23.008009412266606</v>
      </c>
      <c r="L349" s="26">
        <f>((SUM($D$215:$D$218)*$I$151)+(Q257*S152))*'TX SEDS'!M168</f>
        <v>23.221100664855722</v>
      </c>
      <c r="M349" s="26">
        <f>((SUM($D$215:$D$218)*$I$151)+(R257*T152))*'TX SEDS'!N168</f>
        <v>23.434191917444839</v>
      </c>
      <c r="N349" s="26">
        <f>((SUM($D$215:$D$218)*$I$151)+(S257*U152))*'TX SEDS'!O168</f>
        <v>23.647283170033958</v>
      </c>
      <c r="O349" s="26">
        <f>((SUM($D$215:$D$218)*$I$151)+(T257*V152))*'TX SEDS'!P168</f>
        <v>23.860374422623075</v>
      </c>
      <c r="P349" s="26">
        <f>((SUM($D$215:$D$218)*$I$151)+(U257*W152))*'TX SEDS'!Q168</f>
        <v>24.073465675212191</v>
      </c>
      <c r="Q349" s="26">
        <f>((SUM($D$215:$D$218)*$I$151)+(V257*X152))*'TX SEDS'!R168</f>
        <v>24.286556927801307</v>
      </c>
      <c r="R349" s="26">
        <f>((SUM($D$215:$D$218)*$I$151)+(W257*Y152))*'TX SEDS'!S168</f>
        <v>24.499648180390427</v>
      </c>
      <c r="S349" s="26">
        <f>((SUM($D$215:$D$218)*$I$151)+(X257*Z152))*'TX SEDS'!T168</f>
        <v>24.712739432979543</v>
      </c>
      <c r="T349" s="26">
        <f>((SUM($D$215:$D$218)*$I$151)+(Y257*AA152))*'TX SEDS'!U168</f>
        <v>24.925830685568659</v>
      </c>
      <c r="U349" s="26">
        <f>((SUM($D$215:$D$218)*$I$151)+(Z257*AB152))*'TX SEDS'!V168</f>
        <v>25.138921938157775</v>
      </c>
      <c r="V349" s="26">
        <f>((SUM($D$215:$D$218)*$I$151)+(AA257*AC152))*'TX SEDS'!W168</f>
        <v>25.352013190746895</v>
      </c>
      <c r="W349" s="26">
        <f>((SUM($D$215:$D$218)*$I$151)+(AB257*AD152))*'TX SEDS'!X168</f>
        <v>25.565104443336011</v>
      </c>
      <c r="X349" s="26">
        <f>((SUM($D$215:$D$218)*$I$151)+(AC257*AE152))*'TX SEDS'!Y168</f>
        <v>25.778195695925127</v>
      </c>
      <c r="Y349" s="26">
        <f>((SUM($D$215:$D$218)*$I$151)+(AD257*AF152))*'TX SEDS'!Z168</f>
        <v>25.991286948514244</v>
      </c>
      <c r="Z349" s="26">
        <f>((SUM($D$215:$D$218)*$I$151)+(AE257*AG152))*'TX SEDS'!AA168</f>
        <v>26.20437820110336</v>
      </c>
      <c r="AA349" s="26">
        <f>((SUM($D$215:$D$218)*$I$151)+(AF257*AH152))*'TX SEDS'!AB168</f>
        <v>26.417469453692483</v>
      </c>
      <c r="AB349" s="26">
        <f>((SUM($D$215:$D$218)*$I$151)+(AG257*AI152))*'TX SEDS'!AC168</f>
        <v>26.630560706281599</v>
      </c>
      <c r="AC349" s="26">
        <f>((SUM($D$215:$D$218)*$I$151)+(AH257*AJ152))*'TX SEDS'!AD168</f>
        <v>26.843651958870716</v>
      </c>
      <c r="AD349" s="26">
        <f>((SUM($D$215:$D$218)*$I$151)+(AI257*AK152))*'TX SEDS'!AE168</f>
        <v>27.056743211459832</v>
      </c>
      <c r="AE349" s="26">
        <f>((SUM($D$215:$D$218)*$I$151)+(AJ257*AL152))*'TX SEDS'!AF168</f>
        <v>27.269834464048948</v>
      </c>
      <c r="AF349" s="26">
        <f>((SUM($D$215:$D$218)*$I$151)+(AK257*AM152))*'TX SEDS'!AG168</f>
        <v>27.482925716638068</v>
      </c>
      <c r="AG349" s="26">
        <f>((SUM($D$215:$D$218)*$I$151)+(AL257*AN152))*'TX SEDS'!AH168</f>
        <v>27.696016969227184</v>
      </c>
      <c r="AH349" s="26">
        <f>((SUM($D$215:$D$218)*$I$151)+(AM257*AO152))*'TX SEDS'!AI168</f>
        <v>27.9091082218163</v>
      </c>
      <c r="AI349" s="26">
        <f>((SUM($D$215:$D$218)*$I$151)+(AN257*AP152))*'TX SEDS'!AJ168</f>
        <v>28.122199474405441</v>
      </c>
      <c r="AJ349" s="26"/>
    </row>
    <row r="350" spans="1:39">
      <c r="A350" s="26" t="s">
        <v>796</v>
      </c>
      <c r="B350" s="26">
        <f>((SUM($K$215:$K$218)*SUM($I$135,$I$137))+($I$136*$C$257))*'TX SEDS'!C173</f>
        <v>4.2604907237908627</v>
      </c>
      <c r="C350" s="26">
        <f>((SUM($K$215:$K$218)*SUM($I$135,$I$137))+($I$136*$C$257))*'TX SEDS'!D173</f>
        <v>4.2510332766677958</v>
      </c>
      <c r="D350" s="26">
        <f>((SUM($K$215:$K$218)*SUM($I$135,$I$137))+($I$136*$C$257))*'TX SEDS'!E173</f>
        <v>4.241575829544729</v>
      </c>
      <c r="E350" s="26">
        <f>((SUM($K$215:$K$218)*SUM($I$135,$I$137))+($I$136*$C$257))*'TX SEDS'!F173</f>
        <v>4.232118382421663</v>
      </c>
      <c r="F350" s="26">
        <f>((SUM($K$215:$K$218)*SUM($I$135,$I$137))+($I$136*$C$257))*'TX SEDS'!G173</f>
        <v>4.2226609352985962</v>
      </c>
      <c r="G350" s="26">
        <f>((SUM($K$215:$K$218)*SUM($I$135,$I$137))+($I$136*$C$257))*'TX SEDS'!H173</f>
        <v>4.2132034881755294</v>
      </c>
      <c r="H350" s="26">
        <f>((SUM($K$215:$K$218)*SUM($I$135,$I$137))+($I$136*$C$257))*'TX SEDS'!I173</f>
        <v>4.2037460410524625</v>
      </c>
      <c r="I350" s="26">
        <f>((SUM($K$215:$K$218)*SUM($I$135,$I$137))+($I$136*$C$257))*'TX SEDS'!J173</f>
        <v>4.1942885939293957</v>
      </c>
      <c r="J350" s="26">
        <f>((SUM($K$215:$K$218)*SUM($I$135,$I$137))+($I$136*$C$257))*'TX SEDS'!K173</f>
        <v>4.1848311468063288</v>
      </c>
      <c r="K350" s="26">
        <f>((SUM($K$215:$K$218)*SUM($I$135,$I$137))+($I$136*$C$257))*'TX SEDS'!L173</f>
        <v>4.1753736996832629</v>
      </c>
      <c r="L350" s="26">
        <f>((SUM($K$215:$K$218)*SUM($I$135,$I$137))+($I$136*$C$257))*'TX SEDS'!M173</f>
        <v>4.165916252560196</v>
      </c>
      <c r="M350" s="26">
        <f>((SUM($K$215:$K$218)*SUM($I$135,$I$137))+($I$136*$C$257))*'TX SEDS'!N173</f>
        <v>4.1564588054371292</v>
      </c>
      <c r="N350" s="26">
        <f>((SUM($K$215:$K$218)*SUM($I$135,$I$137))+($I$136*$C$257))*'TX SEDS'!O173</f>
        <v>4.1470013583140624</v>
      </c>
      <c r="O350" s="26">
        <f>((SUM($K$215:$K$218)*SUM($I$135,$I$137))+($I$136*$C$257))*'TX SEDS'!P173</f>
        <v>4.1375439111909955</v>
      </c>
      <c r="P350" s="26">
        <f>((SUM($K$215:$K$218)*SUM($I$135,$I$137))+($I$136*$C$257))*'TX SEDS'!Q173</f>
        <v>4.1280864640679287</v>
      </c>
      <c r="Q350" s="26">
        <f>((SUM($K$215:$K$218)*SUM($I$135,$I$137))+($I$136*$C$257))*'TX SEDS'!R173</f>
        <v>4.1186290169448627</v>
      </c>
      <c r="R350" s="26">
        <f>((SUM($K$215:$K$218)*SUM($I$135,$I$137))+($I$136*$C$257))*'TX SEDS'!S173</f>
        <v>4.1091715698217959</v>
      </c>
      <c r="S350" s="26">
        <f>((SUM($K$215:$K$218)*SUM($I$135,$I$137))+($I$136*$C$257))*'TX SEDS'!T173</f>
        <v>4.099714122698729</v>
      </c>
      <c r="T350" s="26">
        <f>((SUM($K$215:$K$218)*SUM($I$135,$I$137))+($I$136*$C$257))*'TX SEDS'!U173</f>
        <v>4.0902566755756622</v>
      </c>
      <c r="U350" s="26">
        <f>((SUM($K$215:$K$218)*SUM($I$135,$I$137))+($I$136*$C$257))*'TX SEDS'!V173</f>
        <v>4.0807992284525954</v>
      </c>
      <c r="V350" s="26">
        <f>((SUM($K$215:$K$218)*SUM($I$135,$I$137))+($I$136*$C$257))*'TX SEDS'!W173</f>
        <v>4.0713417813295285</v>
      </c>
      <c r="W350" s="26">
        <f>((SUM($K$215:$K$218)*SUM($I$135,$I$137))+($I$136*$C$257))*'TX SEDS'!X173</f>
        <v>4.0618843342064626</v>
      </c>
      <c r="X350" s="26">
        <f>((SUM($K$215:$K$218)*SUM($I$135,$I$137))+($I$136*$C$257))*'TX SEDS'!Y173</f>
        <v>4.0524268870833957</v>
      </c>
      <c r="Y350" s="26">
        <f>((SUM($K$215:$K$218)*SUM($I$135,$I$137))+($I$136*$C$257))*'TX SEDS'!Z173</f>
        <v>4.0429694399603289</v>
      </c>
      <c r="Z350" s="26">
        <f>((SUM($K$215:$K$218)*SUM($I$135,$I$137))+($I$136*$C$257))*'TX SEDS'!AA173</f>
        <v>4.033511992837262</v>
      </c>
      <c r="AA350" s="26">
        <f>((SUM($K$215:$K$218)*SUM($I$135,$I$137))+($I$136*$C$257))*'TX SEDS'!AB173</f>
        <v>4.0240545457141952</v>
      </c>
      <c r="AB350" s="26">
        <f>((SUM($K$215:$K$218)*SUM($I$135,$I$137))+($I$136*$C$257))*'TX SEDS'!AC173</f>
        <v>4.0145970985911283</v>
      </c>
      <c r="AC350" s="26">
        <f>((SUM($K$215:$K$218)*SUM($I$135,$I$137))+($I$136*$C$257))*'TX SEDS'!AD173</f>
        <v>4.0051396514680624</v>
      </c>
      <c r="AD350" s="26">
        <f>((SUM($K$215:$K$218)*SUM($I$135,$I$137))+($I$136*$C$257))*'TX SEDS'!AE173</f>
        <v>3.9956822043449955</v>
      </c>
      <c r="AE350" s="26">
        <f>((SUM($K$215:$K$218)*SUM($I$135,$I$137))+($I$136*$C$257))*'TX SEDS'!AF173</f>
        <v>3.9862247572219287</v>
      </c>
      <c r="AF350" s="26">
        <f>((SUM($K$215:$K$218)*SUM($I$135,$I$137))+($I$136*$C$257))*'TX SEDS'!AG173</f>
        <v>3.9767673100988619</v>
      </c>
      <c r="AG350" s="26">
        <f>((SUM($K$215:$K$218)*SUM($I$135,$I$137))+($I$136*$C$257))*'TX SEDS'!AH173</f>
        <v>3.9673098629757955</v>
      </c>
      <c r="AH350" s="26">
        <f>((SUM($K$215:$K$218)*SUM($I$135,$I$137))+($I$136*$C$257))*'TX SEDS'!AI173</f>
        <v>3.9578524158527286</v>
      </c>
      <c r="AI350" s="26">
        <f>((SUM($K$215:$K$218)*SUM($I$135,$I$137))+($I$136*$C$257))*'TX SEDS'!AJ173</f>
        <v>3.9483949687296644</v>
      </c>
      <c r="AJ350" s="26"/>
    </row>
    <row r="351" spans="1:39">
      <c r="A351" s="26" t="s">
        <v>1010</v>
      </c>
      <c r="B351" s="26">
        <f>(((SUM($G$215:$G$218)*$I$147)+($I$148*$F$257))*'TX SEDS'!C177)+'TX SEDS'!C207+'TX SEDS'!C179</f>
        <v>1606.2497093728241</v>
      </c>
      <c r="C351" s="26">
        <f>(((SUM($G$215:$G$218)*$I$147)+($I$148*$F$257))*'TX SEDS'!D177)+'TX SEDS'!D207+'TX SEDS'!D179</f>
        <v>1622.4035954610481</v>
      </c>
      <c r="D351" s="26">
        <f>(((SUM($G$215:$G$218)*$I$147)+($I$148*$F$257))*'TX SEDS'!E177)+'TX SEDS'!E207+'TX SEDS'!E179</f>
        <v>1638.5574815492716</v>
      </c>
      <c r="E351" s="26">
        <f>(((SUM($G$215:$G$218)*$I$147)+($I$148*$F$257))*'TX SEDS'!F177)+'TX SEDS'!F207+'TX SEDS'!F179</f>
        <v>1654.7113676374956</v>
      </c>
      <c r="F351" s="26">
        <f>(((SUM($G$215:$G$218)*$I$147)+($I$148*$F$257))*'TX SEDS'!G177)+'TX SEDS'!G207+'TX SEDS'!G179</f>
        <v>1670.8652537257196</v>
      </c>
      <c r="G351" s="26">
        <f>(((SUM($G$215:$G$218)*$I$147)+($I$148*$F$257))*'TX SEDS'!H177)+'TX SEDS'!H207+'TX SEDS'!H179</f>
        <v>1687.0191398139434</v>
      </c>
      <c r="H351" s="26">
        <f>(((SUM($G$215:$G$218)*$I$147)+($I$148*$F$257))*'TX SEDS'!I177)+'TX SEDS'!I207+'TX SEDS'!I179</f>
        <v>1703.1730259021672</v>
      </c>
      <c r="I351" s="26">
        <f>(((SUM($G$215:$G$218)*$I$147)+($I$148*$F$257))*'TX SEDS'!J177)+'TX SEDS'!J207+'TX SEDS'!J179</f>
        <v>1719.3269119903912</v>
      </c>
      <c r="J351" s="26">
        <f>(((SUM($G$215:$G$218)*$I$147)+($I$148*$F$257))*'TX SEDS'!K177)+'TX SEDS'!K207+'TX SEDS'!K179</f>
        <v>1735.480798078615</v>
      </c>
      <c r="K351" s="26">
        <f>(((SUM($G$215:$G$218)*$I$147)+($I$148*$F$257))*'TX SEDS'!L177)+'TX SEDS'!L207+'TX SEDS'!L179</f>
        <v>1751.634684166839</v>
      </c>
      <c r="L351" s="26">
        <f>(((SUM($G$215:$G$218)*$I$147)+($I$148*$F$257))*'TX SEDS'!M177)+'TX SEDS'!M207+'TX SEDS'!M179</f>
        <v>1767.7885702550627</v>
      </c>
      <c r="M351" s="26">
        <f>(((SUM($G$215:$G$218)*$I$147)+($I$148*$F$257))*'TX SEDS'!N177)+'TX SEDS'!N207+'TX SEDS'!N179</f>
        <v>1783.9424563432869</v>
      </c>
      <c r="N351" s="26">
        <f>(((SUM($G$215:$G$218)*$I$147)+($I$148*$F$257))*'TX SEDS'!O177)+'TX SEDS'!O207+'TX SEDS'!O179</f>
        <v>1800.0963424315109</v>
      </c>
      <c r="O351" s="26">
        <f>(((SUM($G$215:$G$218)*$I$147)+($I$148*$F$257))*'TX SEDS'!P177)+'TX SEDS'!P207+'TX SEDS'!P179</f>
        <v>1816.2502285197349</v>
      </c>
      <c r="P351" s="26">
        <f>(((SUM($G$215:$G$218)*$I$147)+($I$148*$F$257))*'TX SEDS'!Q177)+'TX SEDS'!Q207+'TX SEDS'!Q179</f>
        <v>1832.4041146079589</v>
      </c>
      <c r="Q351" s="26">
        <f>(((SUM($G$215:$G$218)*$I$147)+($I$148*$F$257))*'TX SEDS'!R177)+'TX SEDS'!R207+'TX SEDS'!R179</f>
        <v>1848.5580006961827</v>
      </c>
      <c r="R351" s="26">
        <f>(((SUM($G$215:$G$218)*$I$147)+($I$148*$F$257))*'TX SEDS'!S177)+'TX SEDS'!S207+'TX SEDS'!S179</f>
        <v>1864.7118867844069</v>
      </c>
      <c r="S351" s="26">
        <f>(((SUM($G$215:$G$218)*$I$147)+($I$148*$F$257))*'TX SEDS'!T177)+'TX SEDS'!T207+'TX SEDS'!T179</f>
        <v>1880.8657728726309</v>
      </c>
      <c r="T351" s="26">
        <f>(((SUM($G$215:$G$218)*$I$147)+($I$148*$F$257))*'TX SEDS'!U177)+'TX SEDS'!U207+'TX SEDS'!U179</f>
        <v>1897.0196589608549</v>
      </c>
      <c r="U351" s="26">
        <f>(((SUM($G$215:$G$218)*$I$147)+($I$148*$F$257))*'TX SEDS'!V177)+'TX SEDS'!V207+'TX SEDS'!V179</f>
        <v>1913.1735450490787</v>
      </c>
      <c r="V351" s="26">
        <f>(((SUM($G$215:$G$218)*$I$147)+($I$148*$F$257))*'TX SEDS'!W177)+'TX SEDS'!W207+'TX SEDS'!W179</f>
        <v>1929.3274311373029</v>
      </c>
      <c r="W351" s="26">
        <f>(((SUM($G$215:$G$218)*$I$147)+($I$148*$F$257))*'TX SEDS'!X177)+'TX SEDS'!X207+'TX SEDS'!X179</f>
        <v>1945.4813172255269</v>
      </c>
      <c r="X351" s="26">
        <f>(((SUM($G$215:$G$218)*$I$147)+($I$148*$F$257))*'TX SEDS'!Y177)+'TX SEDS'!Y207+'TX SEDS'!Y179</f>
        <v>1961.6352033137509</v>
      </c>
      <c r="Y351" s="26">
        <f>(((SUM($G$215:$G$218)*$I$147)+($I$148*$F$257))*'TX SEDS'!Z177)+'TX SEDS'!Z207+'TX SEDS'!Z179</f>
        <v>1977.7890894019747</v>
      </c>
      <c r="Z351" s="26">
        <f>(((SUM($G$215:$G$218)*$I$147)+($I$148*$F$257))*'TX SEDS'!AA177)+'TX SEDS'!AA207+'TX SEDS'!AA179</f>
        <v>1993.9429754901989</v>
      </c>
      <c r="AA351" s="26">
        <f>(((SUM($G$215:$G$218)*$I$147)+($I$148*$F$257))*'TX SEDS'!AB177)+'TX SEDS'!AB207+'TX SEDS'!AB179</f>
        <v>2010.0968615784227</v>
      </c>
      <c r="AB351" s="26">
        <f>(((SUM($G$215:$G$218)*$I$147)+($I$148*$F$257))*'TX SEDS'!AC177)+'TX SEDS'!AC207+'TX SEDS'!AC179</f>
        <v>2026.2507476666469</v>
      </c>
      <c r="AC351" s="26">
        <f>(((SUM($G$215:$G$218)*$I$147)+($I$148*$F$257))*'TX SEDS'!AD177)+'TX SEDS'!AD207+'TX SEDS'!AD179</f>
        <v>2042.4046337548709</v>
      </c>
      <c r="AD351" s="26">
        <f>(((SUM($G$215:$G$218)*$I$147)+($I$148*$F$257))*'TX SEDS'!AE177)+'TX SEDS'!AE207+'TX SEDS'!AE179</f>
        <v>2058.5585198430945</v>
      </c>
      <c r="AE351" s="26">
        <f>(((SUM($G$215:$G$218)*$I$147)+($I$148*$F$257))*'TX SEDS'!AF177)+'TX SEDS'!AF207+'TX SEDS'!AF179</f>
        <v>2074.7124059313187</v>
      </c>
      <c r="AF351" s="26">
        <f>(((SUM($G$215:$G$218)*$I$147)+($I$148*$F$257))*'TX SEDS'!AG177)+'TX SEDS'!AG207+'TX SEDS'!AG179</f>
        <v>2090.8662920195429</v>
      </c>
      <c r="AG351" s="26">
        <f>(((SUM($G$215:$G$218)*$I$147)+($I$148*$F$257))*'TX SEDS'!AH177)+'TX SEDS'!AH207+'TX SEDS'!AH179</f>
        <v>2107.0201781077667</v>
      </c>
      <c r="AH351" s="26">
        <f>(((SUM($G$215:$G$218)*$I$147)+($I$148*$F$257))*'TX SEDS'!AI177)+'TX SEDS'!AI207+'TX SEDS'!AI179</f>
        <v>2123.1740641959905</v>
      </c>
      <c r="AI351" s="26">
        <f>(((SUM($G$215:$G$218)*$I$147)+($I$148*$F$257))*'TX SEDS'!AJ177)+'TX SEDS'!AJ207+'TX SEDS'!AJ179</f>
        <v>2139.3279502842142</v>
      </c>
      <c r="AJ351" s="26"/>
    </row>
    <row r="352" spans="1:39">
      <c r="A352" s="26" t="s">
        <v>339</v>
      </c>
      <c r="B352" s="26">
        <v>0</v>
      </c>
      <c r="C352" s="26">
        <v>0</v>
      </c>
      <c r="D352" s="26">
        <v>0</v>
      </c>
      <c r="E352" s="26">
        <v>0</v>
      </c>
      <c r="F352" s="26">
        <v>0</v>
      </c>
      <c r="G352" s="26">
        <v>0</v>
      </c>
      <c r="H352" s="26">
        <v>0</v>
      </c>
      <c r="I352" s="26">
        <v>0</v>
      </c>
      <c r="J352" s="26">
        <v>0</v>
      </c>
      <c r="K352" s="26">
        <v>0</v>
      </c>
      <c r="L352" s="26">
        <v>0</v>
      </c>
      <c r="M352" s="26">
        <v>0</v>
      </c>
      <c r="N352" s="26">
        <v>0</v>
      </c>
      <c r="O352" s="26">
        <v>0</v>
      </c>
      <c r="P352" s="26">
        <v>0</v>
      </c>
      <c r="Q352" s="26">
        <v>0</v>
      </c>
      <c r="R352" s="26">
        <v>0</v>
      </c>
      <c r="S352" s="26">
        <v>0</v>
      </c>
      <c r="T352" s="26">
        <v>0</v>
      </c>
      <c r="U352" s="26">
        <v>0</v>
      </c>
      <c r="V352" s="26">
        <v>0</v>
      </c>
      <c r="W352" s="26">
        <v>0</v>
      </c>
      <c r="X352" s="26">
        <v>0</v>
      </c>
      <c r="Y352" s="26">
        <v>0</v>
      </c>
      <c r="Z352" s="26">
        <v>0</v>
      </c>
      <c r="AA352" s="26">
        <v>0</v>
      </c>
      <c r="AB352" s="26">
        <v>0</v>
      </c>
      <c r="AC352" s="26">
        <v>0</v>
      </c>
      <c r="AD352" s="26">
        <v>0</v>
      </c>
      <c r="AE352" s="26">
        <v>0</v>
      </c>
      <c r="AF352" s="26">
        <v>0</v>
      </c>
      <c r="AG352" s="26">
        <v>0</v>
      </c>
      <c r="AH352" s="26">
        <v>0</v>
      </c>
      <c r="AI352" s="26">
        <v>0</v>
      </c>
      <c r="AJ352" s="26"/>
    </row>
    <row r="353" spans="1:36">
      <c r="A353" s="26" t="s">
        <v>1011</v>
      </c>
      <c r="B353" s="26">
        <f>((SUM($F$215:$F$218)*$I$140)+($I$141*$D$257))*'TX SEDS'!C187</f>
        <v>97.83297409400619</v>
      </c>
      <c r="C353" s="26">
        <f>((SUM($F$215:$F$218)*$I$140)+($I$141*$D$257))*'TX SEDS'!D187</f>
        <v>99.029598606695885</v>
      </c>
      <c r="D353" s="26">
        <f>((SUM($F$215:$F$218)*$I$140)+($I$141*$D$257))*'TX SEDS'!E187</f>
        <v>100.22622311938557</v>
      </c>
      <c r="E353" s="26">
        <f>((SUM($F$215:$F$218)*$I$140)+($I$141*$D$257))*'TX SEDS'!F187</f>
        <v>101.42284763207526</v>
      </c>
      <c r="F353" s="26">
        <f>((SUM($F$215:$F$218)*$I$140)+($I$141*$D$257))*'TX SEDS'!G187</f>
        <v>102.61947214476494</v>
      </c>
      <c r="G353" s="26">
        <f>((SUM($F$215:$F$218)*$I$140)+($I$141*$D$257))*'TX SEDS'!H187</f>
        <v>103.81609665745464</v>
      </c>
      <c r="H353" s="26">
        <f>((SUM($F$215:$F$218)*$I$140)+($I$141*$D$257))*'TX SEDS'!I187</f>
        <v>105.01272117014432</v>
      </c>
      <c r="I353" s="26">
        <f>((SUM($F$215:$F$218)*$I$140)+($I$141*$D$257))*'TX SEDS'!J187</f>
        <v>106.20934568283401</v>
      </c>
      <c r="J353" s="26">
        <f>((SUM($F$215:$F$218)*$I$140)+($I$141*$D$257))*'TX SEDS'!K187</f>
        <v>107.40597019552371</v>
      </c>
      <c r="K353" s="26">
        <f>((SUM($F$215:$F$218)*$I$140)+($I$141*$D$257))*'TX SEDS'!L187</f>
        <v>108.60259470821339</v>
      </c>
      <c r="L353" s="26">
        <f>((SUM($F$215:$F$218)*$I$140)+($I$141*$D$257))*'TX SEDS'!M187</f>
        <v>109.79921922090308</v>
      </c>
      <c r="M353" s="26">
        <f>((SUM($F$215:$F$218)*$I$140)+($I$141*$D$257))*'TX SEDS'!N187</f>
        <v>110.99584373359276</v>
      </c>
      <c r="N353" s="26">
        <f>((SUM($F$215:$F$218)*$I$140)+($I$141*$D$257))*'TX SEDS'!O187</f>
        <v>112.19246824628246</v>
      </c>
      <c r="O353" s="26">
        <f>((SUM($F$215:$F$218)*$I$140)+($I$141*$D$257))*'TX SEDS'!P187</f>
        <v>113.38909275897214</v>
      </c>
      <c r="P353" s="26">
        <f>((SUM($F$215:$F$218)*$I$140)+($I$141*$D$257))*'TX SEDS'!Q187</f>
        <v>114.58571727166184</v>
      </c>
      <c r="Q353" s="26">
        <f>((SUM($F$215:$F$218)*$I$140)+($I$141*$D$257))*'TX SEDS'!R187</f>
        <v>115.78234178435152</v>
      </c>
      <c r="R353" s="26">
        <f>((SUM($F$215:$F$218)*$I$140)+($I$141*$D$257))*'TX SEDS'!S187</f>
        <v>116.97896629704121</v>
      </c>
      <c r="S353" s="26">
        <f>((SUM($F$215:$F$218)*$I$140)+($I$141*$D$257))*'TX SEDS'!T187</f>
        <v>118.17559080973089</v>
      </c>
      <c r="T353" s="26">
        <f>((SUM($F$215:$F$218)*$I$140)+($I$141*$D$257))*'TX SEDS'!U187</f>
        <v>119.37221532242059</v>
      </c>
      <c r="U353" s="26">
        <f>((SUM($F$215:$F$218)*$I$140)+($I$141*$D$257))*'TX SEDS'!V187</f>
        <v>120.56883983511028</v>
      </c>
      <c r="V353" s="26">
        <f>((SUM($F$215:$F$218)*$I$140)+($I$141*$D$257))*'TX SEDS'!W187</f>
        <v>121.76546434779996</v>
      </c>
      <c r="W353" s="26">
        <f>((SUM($F$215:$F$218)*$I$140)+($I$141*$D$257))*'TX SEDS'!X187</f>
        <v>122.96208886048966</v>
      </c>
      <c r="X353" s="26">
        <f>((SUM($F$215:$F$218)*$I$140)+($I$141*$D$257))*'TX SEDS'!Y187</f>
        <v>124.15871337317934</v>
      </c>
      <c r="Y353" s="26">
        <f>((SUM($F$215:$F$218)*$I$140)+($I$141*$D$257))*'TX SEDS'!Z187</f>
        <v>125.35533788586903</v>
      </c>
      <c r="Z353" s="26">
        <f>((SUM($F$215:$F$218)*$I$140)+($I$141*$D$257))*'TX SEDS'!AA187</f>
        <v>126.55196239855871</v>
      </c>
      <c r="AA353" s="26">
        <f>((SUM($F$215:$F$218)*$I$140)+($I$141*$D$257))*'TX SEDS'!AB187</f>
        <v>127.74858691124841</v>
      </c>
      <c r="AB353" s="26">
        <f>((SUM($F$215:$F$218)*$I$140)+($I$141*$D$257))*'TX SEDS'!AC187</f>
        <v>128.9452114239381</v>
      </c>
      <c r="AC353" s="26">
        <f>((SUM($F$215:$F$218)*$I$140)+($I$141*$D$257))*'TX SEDS'!AD187</f>
        <v>130.14183593662779</v>
      </c>
      <c r="AD353" s="26">
        <f>((SUM($F$215:$F$218)*$I$140)+($I$141*$D$257))*'TX SEDS'!AE187</f>
        <v>131.33846044931747</v>
      </c>
      <c r="AE353" s="26">
        <f>((SUM($F$215:$F$218)*$I$140)+($I$141*$D$257))*'TX SEDS'!AF187</f>
        <v>132.53508496200715</v>
      </c>
      <c r="AF353" s="26">
        <f>((SUM($F$215:$F$218)*$I$140)+($I$141*$D$257))*'TX SEDS'!AG187</f>
        <v>133.73170947469686</v>
      </c>
      <c r="AG353" s="26">
        <f>((SUM($F$215:$F$218)*$I$140)+($I$141*$D$257))*'TX SEDS'!AH187</f>
        <v>134.92833398738654</v>
      </c>
      <c r="AH353" s="26">
        <f>((SUM($F$215:$F$218)*$I$140)+($I$141*$D$257))*'TX SEDS'!AI187</f>
        <v>136.12495850007622</v>
      </c>
      <c r="AI353" s="26">
        <f>((SUM($F$215:$F$218)*$I$140)+($I$141*$D$257))*'TX SEDS'!AJ187</f>
        <v>137.32158301276598</v>
      </c>
      <c r="AJ353" s="26"/>
    </row>
    <row r="354" spans="1:36">
      <c r="A354" s="26" t="s">
        <v>1012</v>
      </c>
      <c r="B354" s="26">
        <v>0</v>
      </c>
      <c r="C354" s="26">
        <f>B354</f>
        <v>0</v>
      </c>
      <c r="D354" s="26">
        <f t="shared" ref="D354:F354" si="125">C354</f>
        <v>0</v>
      </c>
      <c r="E354" s="26">
        <f t="shared" si="125"/>
        <v>0</v>
      </c>
      <c r="F354" s="26">
        <f t="shared" si="125"/>
        <v>0</v>
      </c>
      <c r="G354" s="26">
        <f t="shared" ref="G354:AI354" si="126">F354</f>
        <v>0</v>
      </c>
      <c r="H354" s="26">
        <f t="shared" si="126"/>
        <v>0</v>
      </c>
      <c r="I354" s="26">
        <f t="shared" si="126"/>
        <v>0</v>
      </c>
      <c r="J354" s="26">
        <f t="shared" si="126"/>
        <v>0</v>
      </c>
      <c r="K354" s="26">
        <f t="shared" si="126"/>
        <v>0</v>
      </c>
      <c r="L354" s="26">
        <f t="shared" si="126"/>
        <v>0</v>
      </c>
      <c r="M354" s="26">
        <f t="shared" si="126"/>
        <v>0</v>
      </c>
      <c r="N354" s="26">
        <f t="shared" si="126"/>
        <v>0</v>
      </c>
      <c r="O354" s="26">
        <f t="shared" si="126"/>
        <v>0</v>
      </c>
      <c r="P354" s="26">
        <f t="shared" si="126"/>
        <v>0</v>
      </c>
      <c r="Q354" s="26">
        <f t="shared" si="126"/>
        <v>0</v>
      </c>
      <c r="R354" s="26">
        <f t="shared" si="126"/>
        <v>0</v>
      </c>
      <c r="S354" s="26">
        <f t="shared" si="126"/>
        <v>0</v>
      </c>
      <c r="T354" s="26">
        <f t="shared" si="126"/>
        <v>0</v>
      </c>
      <c r="U354" s="26">
        <f t="shared" si="126"/>
        <v>0</v>
      </c>
      <c r="V354" s="26">
        <f t="shared" si="126"/>
        <v>0</v>
      </c>
      <c r="W354" s="26">
        <f t="shared" si="126"/>
        <v>0</v>
      </c>
      <c r="X354" s="26">
        <f t="shared" si="126"/>
        <v>0</v>
      </c>
      <c r="Y354" s="26">
        <f t="shared" si="126"/>
        <v>0</v>
      </c>
      <c r="Z354" s="26">
        <f t="shared" si="126"/>
        <v>0</v>
      </c>
      <c r="AA354" s="26">
        <f t="shared" si="126"/>
        <v>0</v>
      </c>
      <c r="AB354" s="26">
        <f t="shared" si="126"/>
        <v>0</v>
      </c>
      <c r="AC354" s="26">
        <f t="shared" si="126"/>
        <v>0</v>
      </c>
      <c r="AD354" s="26">
        <f t="shared" si="126"/>
        <v>0</v>
      </c>
      <c r="AE354" s="26">
        <f t="shared" si="126"/>
        <v>0</v>
      </c>
      <c r="AF354" s="26">
        <f t="shared" si="126"/>
        <v>0</v>
      </c>
      <c r="AG354" s="26">
        <f t="shared" si="126"/>
        <v>0</v>
      </c>
      <c r="AH354" s="26">
        <f t="shared" si="126"/>
        <v>0</v>
      </c>
      <c r="AI354" s="26">
        <f t="shared" si="126"/>
        <v>0</v>
      </c>
      <c r="AJ354" s="26"/>
    </row>
    <row r="355" spans="1:36">
      <c r="A355" s="26" t="s">
        <v>323</v>
      </c>
      <c r="B355" s="38">
        <f>'TX SEDS'!C193</f>
        <v>10542.085800000001</v>
      </c>
      <c r="C355" s="38">
        <f>'TX SEDS'!D193</f>
        <v>10548.820578424293</v>
      </c>
      <c r="D355" s="38">
        <f>'TX SEDS'!E193</f>
        <v>10555.555356848585</v>
      </c>
      <c r="E355" s="38">
        <f>'TX SEDS'!F193</f>
        <v>10562.290135272877</v>
      </c>
      <c r="F355" s="38">
        <f>'TX SEDS'!G193</f>
        <v>10569.024913697169</v>
      </c>
      <c r="G355" s="38">
        <f>'TX SEDS'!H193</f>
        <v>10575.759692121461</v>
      </c>
      <c r="H355" s="38">
        <f>'TX SEDS'!I193</f>
        <v>10582.494470545753</v>
      </c>
      <c r="I355" s="38">
        <f>'TX SEDS'!J193</f>
        <v>10589.229248970045</v>
      </c>
      <c r="J355" s="38">
        <f>'TX SEDS'!K193</f>
        <v>10595.964027394337</v>
      </c>
      <c r="K355" s="38">
        <f>'TX SEDS'!L193</f>
        <v>10602.698805818629</v>
      </c>
      <c r="L355" s="38">
        <f>'TX SEDS'!M193</f>
        <v>10609.433584242921</v>
      </c>
      <c r="M355" s="38">
        <f>'TX SEDS'!N193</f>
        <v>10616.168362667213</v>
      </c>
      <c r="N355" s="38">
        <f>'TX SEDS'!O193</f>
        <v>10622.903141091505</v>
      </c>
      <c r="O355" s="38">
        <f>'TX SEDS'!P193</f>
        <v>10629.637919515797</v>
      </c>
      <c r="P355" s="38">
        <f>'TX SEDS'!Q193</f>
        <v>10636.372697940089</v>
      </c>
      <c r="Q355" s="38">
        <f>'TX SEDS'!R193</f>
        <v>10643.107476364381</v>
      </c>
      <c r="R355" s="38">
        <f>'TX SEDS'!S193</f>
        <v>10649.842254788673</v>
      </c>
      <c r="S355" s="38">
        <f>'TX SEDS'!T193</f>
        <v>10656.577033212965</v>
      </c>
      <c r="T355" s="38">
        <f>'TX SEDS'!U193</f>
        <v>10663.311811637257</v>
      </c>
      <c r="U355" s="38">
        <f>'TX SEDS'!V193</f>
        <v>10670.046590061549</v>
      </c>
      <c r="V355" s="38">
        <f>'TX SEDS'!W193</f>
        <v>10676.781368485841</v>
      </c>
      <c r="W355" s="38">
        <f>'TX SEDS'!X193</f>
        <v>10683.516146910133</v>
      </c>
      <c r="X355" s="38">
        <f>'TX SEDS'!Y193</f>
        <v>10690.250925334425</v>
      </c>
      <c r="Y355" s="38">
        <f>'TX SEDS'!Z193</f>
        <v>10696.985703758717</v>
      </c>
      <c r="Z355" s="38">
        <f>'TX SEDS'!AA193</f>
        <v>10703.720482183009</v>
      </c>
      <c r="AA355" s="38">
        <f>'TX SEDS'!AB193</f>
        <v>10710.455260607301</v>
      </c>
      <c r="AB355" s="38">
        <f>'TX SEDS'!AC193</f>
        <v>10717.190039031593</v>
      </c>
      <c r="AC355" s="38">
        <f>'TX SEDS'!AD193</f>
        <v>10723.924817455885</v>
      </c>
      <c r="AD355" s="38">
        <f>'TX SEDS'!AE193</f>
        <v>10730.659595880177</v>
      </c>
      <c r="AE355" s="38">
        <f>'TX SEDS'!AF193</f>
        <v>10737.394374304469</v>
      </c>
      <c r="AF355" s="38">
        <f>'TX SEDS'!AG193</f>
        <v>10744.129152728761</v>
      </c>
      <c r="AG355" s="38">
        <f>'TX SEDS'!AH193</f>
        <v>10750.863931153053</v>
      </c>
      <c r="AH355" s="38">
        <f>'TX SEDS'!AI193</f>
        <v>10757.598709577345</v>
      </c>
      <c r="AI355" s="38">
        <f>'TX SEDS'!AJ193</f>
        <v>10764.333488001666</v>
      </c>
      <c r="AJ355" s="26"/>
    </row>
    <row r="356" spans="1:36">
      <c r="A356" s="26" t="s">
        <v>342</v>
      </c>
      <c r="B356" s="26">
        <f>((SUM($E$215:$E$218)*$I$154)+($H$257*$I$155))*'TX SEDS'!C197</f>
        <v>1.101003278457408</v>
      </c>
      <c r="C356" s="26">
        <f>((SUM($E$215:$E$218)*$I$154)+($H$257*$I$155))*'TX SEDS'!D197</f>
        <v>1.095981257404159</v>
      </c>
      <c r="D356" s="26">
        <f>((SUM($E$215:$E$218)*$I$154)+($H$257*$I$155))*'TX SEDS'!E197</f>
        <v>1.09095923635091</v>
      </c>
      <c r="E356" s="26">
        <f>((SUM($E$215:$E$218)*$I$154)+($H$257*$I$155))*'TX SEDS'!F197</f>
        <v>1.0859372152976607</v>
      </c>
      <c r="F356" s="26">
        <f>((SUM($E$215:$E$218)*$I$154)+($H$257*$I$155))*'TX SEDS'!G197</f>
        <v>1.0809151942444117</v>
      </c>
      <c r="G356" s="26">
        <f>((SUM($E$215:$E$218)*$I$154)+($H$257*$I$155))*'TX SEDS'!H197</f>
        <v>1.0758931731911627</v>
      </c>
      <c r="H356" s="26">
        <f>((SUM($E$215:$E$218)*$I$154)+($H$257*$I$155))*'TX SEDS'!I197</f>
        <v>1.0708711521379135</v>
      </c>
      <c r="I356" s="26">
        <f>((SUM($E$215:$E$218)*$I$154)+($H$257*$I$155))*'TX SEDS'!J197</f>
        <v>1.0658491310846645</v>
      </c>
      <c r="J356" s="26">
        <f>((SUM($E$215:$E$218)*$I$154)+($H$257*$I$155))*'TX SEDS'!K197</f>
        <v>1.0608271100314155</v>
      </c>
      <c r="K356" s="26">
        <f>((SUM($E$215:$E$218)*$I$154)+($H$257*$I$155))*'TX SEDS'!L197</f>
        <v>1.0558050889781663</v>
      </c>
      <c r="L356" s="26">
        <f>((SUM($E$215:$E$218)*$I$154)+($H$257*$I$155))*'TX SEDS'!M197</f>
        <v>1.0507830679249173</v>
      </c>
      <c r="M356" s="26">
        <f>((SUM($E$215:$E$218)*$I$154)+($H$257*$I$155))*'TX SEDS'!N197</f>
        <v>1.0457610468716683</v>
      </c>
      <c r="N356" s="26">
        <f>((SUM($E$215:$E$218)*$I$154)+($H$257*$I$155))*'TX SEDS'!O197</f>
        <v>1.040739025818419</v>
      </c>
      <c r="O356" s="26">
        <f>((SUM($E$215:$E$218)*$I$154)+($H$257*$I$155))*'TX SEDS'!P197</f>
        <v>1.03571700476517</v>
      </c>
      <c r="P356" s="26">
        <f>((SUM($E$215:$E$218)*$I$154)+($H$257*$I$155))*'TX SEDS'!Q197</f>
        <v>1.030694983711921</v>
      </c>
      <c r="Q356" s="26">
        <f>((SUM($E$215:$E$218)*$I$154)+($H$257*$I$155))*'TX SEDS'!R197</f>
        <v>1.0256729626586718</v>
      </c>
      <c r="R356" s="26">
        <f>((SUM($E$215:$E$218)*$I$154)+($H$257*$I$155))*'TX SEDS'!S197</f>
        <v>1.0206509416054228</v>
      </c>
      <c r="S356" s="26">
        <f>((SUM($E$215:$E$218)*$I$154)+($H$257*$I$155))*'TX SEDS'!T197</f>
        <v>1.0156289205521738</v>
      </c>
      <c r="T356" s="26">
        <f>((SUM($E$215:$E$218)*$I$154)+($H$257*$I$155))*'TX SEDS'!U197</f>
        <v>1.0106068994989246</v>
      </c>
      <c r="U356" s="26">
        <f>((SUM($E$215:$E$218)*$I$154)+($H$257*$I$155))*'TX SEDS'!V197</f>
        <v>1.0055848784456756</v>
      </c>
      <c r="V356" s="26">
        <f>((SUM($E$215:$E$218)*$I$154)+($H$257*$I$155))*'TX SEDS'!W197</f>
        <v>1.0005628573924266</v>
      </c>
      <c r="W356" s="26">
        <f>((SUM($E$215:$E$218)*$I$154)+($H$257*$I$155))*'TX SEDS'!X197</f>
        <v>0.99554083633917745</v>
      </c>
      <c r="X356" s="26">
        <f>((SUM($E$215:$E$218)*$I$154)+($H$257*$I$155))*'TX SEDS'!Y197</f>
        <v>0.99051881528592833</v>
      </c>
      <c r="Y356" s="26">
        <f>((SUM($E$215:$E$218)*$I$154)+($H$257*$I$155))*'TX SEDS'!Z197</f>
        <v>0.98549679423267922</v>
      </c>
      <c r="Z356" s="26">
        <f>((SUM($E$215:$E$218)*$I$154)+($H$257*$I$155))*'TX SEDS'!AA197</f>
        <v>0.98047477317943021</v>
      </c>
      <c r="AA356" s="26">
        <f>((SUM($E$215:$E$218)*$I$154)+($H$257*$I$155))*'TX SEDS'!AB197</f>
        <v>0.9754527521261811</v>
      </c>
      <c r="AB356" s="26">
        <f>((SUM($E$215:$E$218)*$I$154)+($H$257*$I$155))*'TX SEDS'!AC197</f>
        <v>0.97043073107293198</v>
      </c>
      <c r="AC356" s="26">
        <f>((SUM($E$215:$E$218)*$I$154)+($H$257*$I$155))*'TX SEDS'!AD197</f>
        <v>0.96540871001968298</v>
      </c>
      <c r="AD356" s="26">
        <f>((SUM($E$215:$E$218)*$I$154)+($H$257*$I$155))*'TX SEDS'!AE197</f>
        <v>0.96038668896643387</v>
      </c>
      <c r="AE356" s="26">
        <f>((SUM($E$215:$E$218)*$I$154)+($H$257*$I$155))*'TX SEDS'!AF197</f>
        <v>0.95536466791318475</v>
      </c>
      <c r="AF356" s="26">
        <f>((SUM($E$215:$E$218)*$I$154)+($H$257*$I$155))*'TX SEDS'!AG197</f>
        <v>0.95034264685993575</v>
      </c>
      <c r="AG356" s="26">
        <f>((SUM($E$215:$E$218)*$I$154)+($H$257*$I$155))*'TX SEDS'!AH197</f>
        <v>0.94532062580668663</v>
      </c>
      <c r="AH356" s="26">
        <f>((SUM($E$215:$E$218)*$I$154)+($H$257*$I$155))*'TX SEDS'!AI197</f>
        <v>0.94029860475343752</v>
      </c>
      <c r="AI356" s="26">
        <f>((SUM($E$215:$E$218)*$I$154)+($H$257*$I$155))*'TX SEDS'!AJ197</f>
        <v>0.93527658370018996</v>
      </c>
      <c r="AJ356" s="26"/>
    </row>
    <row r="357" spans="1:36">
      <c r="A357" s="26" t="s">
        <v>1013</v>
      </c>
      <c r="B357" s="26">
        <f>((SUM($H$215:$H$218)*$I$144)+($I$145*$E$257))*'TX SEDS'!C201</f>
        <v>210.96421995036451</v>
      </c>
      <c r="C357" s="26">
        <f>((SUM($H$215:$H$218)*$I$144)+($I$145*$E$257))*'TX SEDS'!D201</f>
        <v>215.13886205800938</v>
      </c>
      <c r="D357" s="26">
        <f>((SUM($H$215:$H$218)*$I$144)+($I$145*$E$257))*'TX SEDS'!E201</f>
        <v>219.31350416565428</v>
      </c>
      <c r="E357" s="26">
        <f>((SUM($H$215:$H$218)*$I$144)+($I$145*$E$257))*'TX SEDS'!F201</f>
        <v>223.48814627329918</v>
      </c>
      <c r="F357" s="26">
        <f>((SUM($H$215:$H$218)*$I$144)+($I$145*$E$257))*'TX SEDS'!G201</f>
        <v>227.66278838094405</v>
      </c>
      <c r="G357" s="26">
        <f>((SUM($H$215:$H$218)*$I$144)+($I$145*$E$257))*'TX SEDS'!H201</f>
        <v>231.83743048858895</v>
      </c>
      <c r="H357" s="26">
        <f>((SUM($H$215:$H$218)*$I$144)+($I$145*$E$257))*'TX SEDS'!I201</f>
        <v>236.01207259623385</v>
      </c>
      <c r="I357" s="26">
        <f>((SUM($H$215:$H$218)*$I$144)+($I$145*$E$257))*'TX SEDS'!J201</f>
        <v>240.18671470387875</v>
      </c>
      <c r="J357" s="26">
        <f>((SUM($H$215:$H$218)*$I$144)+($I$145*$E$257))*'TX SEDS'!K201</f>
        <v>244.36135681152362</v>
      </c>
      <c r="K357" s="26">
        <f>((SUM($H$215:$H$218)*$I$144)+($I$145*$E$257))*'TX SEDS'!L201</f>
        <v>248.53599891916852</v>
      </c>
      <c r="L357" s="26">
        <f>((SUM($H$215:$H$218)*$I$144)+($I$145*$E$257))*'TX SEDS'!M201</f>
        <v>252.71064102681342</v>
      </c>
      <c r="M357" s="26">
        <f>((SUM($H$215:$H$218)*$I$144)+($I$145*$E$257))*'TX SEDS'!N201</f>
        <v>256.88528313445829</v>
      </c>
      <c r="N357" s="26">
        <f>((SUM($H$215:$H$218)*$I$144)+($I$145*$E$257))*'TX SEDS'!O201</f>
        <v>261.05992524210319</v>
      </c>
      <c r="O357" s="26">
        <f>((SUM($H$215:$H$218)*$I$144)+($I$145*$E$257))*'TX SEDS'!P201</f>
        <v>265.23456734974809</v>
      </c>
      <c r="P357" s="26">
        <f>((SUM($H$215:$H$218)*$I$144)+($I$145*$E$257))*'TX SEDS'!Q201</f>
        <v>269.40920945739299</v>
      </c>
      <c r="Q357" s="26">
        <f>((SUM($H$215:$H$218)*$I$144)+($I$145*$E$257))*'TX SEDS'!R201</f>
        <v>273.58385156503789</v>
      </c>
      <c r="R357" s="26">
        <f>((SUM($H$215:$H$218)*$I$144)+($I$145*$E$257))*'TX SEDS'!S201</f>
        <v>277.75849367268273</v>
      </c>
      <c r="S357" s="26">
        <f>((SUM($H$215:$H$218)*$I$144)+($I$145*$E$257))*'TX SEDS'!T201</f>
        <v>281.93313578032763</v>
      </c>
      <c r="T357" s="26">
        <f>((SUM($H$215:$H$218)*$I$144)+($I$145*$E$257))*'TX SEDS'!U201</f>
        <v>286.10777788797253</v>
      </c>
      <c r="U357" s="26">
        <f>((SUM($H$215:$H$218)*$I$144)+($I$145*$E$257))*'TX SEDS'!V201</f>
        <v>290.28241999561743</v>
      </c>
      <c r="V357" s="26">
        <f>((SUM($H$215:$H$218)*$I$144)+($I$145*$E$257))*'TX SEDS'!W201</f>
        <v>294.45706210326233</v>
      </c>
      <c r="W357" s="26">
        <f>((SUM($H$215:$H$218)*$I$144)+($I$145*$E$257))*'TX SEDS'!X201</f>
        <v>298.63170421090723</v>
      </c>
      <c r="X357" s="26">
        <f>((SUM($H$215:$H$218)*$I$144)+($I$145*$E$257))*'TX SEDS'!Y201</f>
        <v>302.80634631855213</v>
      </c>
      <c r="Y357" s="26">
        <f>((SUM($H$215:$H$218)*$I$144)+($I$145*$E$257))*'TX SEDS'!Z201</f>
        <v>306.98098842619697</v>
      </c>
      <c r="Z357" s="26">
        <f>((SUM($H$215:$H$218)*$I$144)+($I$145*$E$257))*'TX SEDS'!AA201</f>
        <v>311.15563053384187</v>
      </c>
      <c r="AA357" s="26">
        <f>((SUM($H$215:$H$218)*$I$144)+($I$145*$E$257))*'TX SEDS'!AB201</f>
        <v>315.33027264148677</v>
      </c>
      <c r="AB357" s="26">
        <f>((SUM($H$215:$H$218)*$I$144)+($I$145*$E$257))*'TX SEDS'!AC201</f>
        <v>319.50491474913167</v>
      </c>
      <c r="AC357" s="26">
        <f>((SUM($H$215:$H$218)*$I$144)+($I$145*$E$257))*'TX SEDS'!AD201</f>
        <v>323.67955685677657</v>
      </c>
      <c r="AD357" s="26">
        <f>((SUM($H$215:$H$218)*$I$144)+($I$145*$E$257))*'TX SEDS'!AE201</f>
        <v>327.85419896442147</v>
      </c>
      <c r="AE357" s="26">
        <f>((SUM($H$215:$H$218)*$I$144)+($I$145*$E$257))*'TX SEDS'!AF201</f>
        <v>332.02884107206637</v>
      </c>
      <c r="AF357" s="26">
        <f>((SUM($H$215:$H$218)*$I$144)+($I$145*$E$257))*'TX SEDS'!AG201</f>
        <v>336.20348317971121</v>
      </c>
      <c r="AG357" s="26">
        <f>((SUM($H$215:$H$218)*$I$144)+($I$145*$E$257))*'TX SEDS'!AH201</f>
        <v>340.37812528735611</v>
      </c>
      <c r="AH357" s="26">
        <f>((SUM($H$215:$H$218)*$I$144)+($I$145*$E$257))*'TX SEDS'!AI201</f>
        <v>344.55276739500096</v>
      </c>
      <c r="AI357" s="26">
        <f>((SUM($H$215:$H$218)*$I$144)+($I$145*$E$257))*'TX SEDS'!AJ201</f>
        <v>348.72740950264529</v>
      </c>
      <c r="AJ357" s="26"/>
    </row>
    <row r="358" spans="1:36">
      <c r="A358" s="26" t="s">
        <v>1014</v>
      </c>
      <c r="B358" s="26">
        <v>0</v>
      </c>
      <c r="C358" s="26">
        <f>B358</f>
        <v>0</v>
      </c>
      <c r="D358" s="26">
        <f t="shared" ref="D358:F358" si="127">C358</f>
        <v>0</v>
      </c>
      <c r="E358" s="26">
        <f t="shared" si="127"/>
        <v>0</v>
      </c>
      <c r="F358" s="26">
        <f t="shared" si="127"/>
        <v>0</v>
      </c>
      <c r="G358" s="26">
        <f t="shared" ref="G358:AI358" si="128">F358</f>
        <v>0</v>
      </c>
      <c r="H358" s="26">
        <f t="shared" si="128"/>
        <v>0</v>
      </c>
      <c r="I358" s="26">
        <f t="shared" si="128"/>
        <v>0</v>
      </c>
      <c r="J358" s="26">
        <f t="shared" si="128"/>
        <v>0</v>
      </c>
      <c r="K358" s="26">
        <f t="shared" si="128"/>
        <v>0</v>
      </c>
      <c r="L358" s="26">
        <f t="shared" si="128"/>
        <v>0</v>
      </c>
      <c r="M358" s="26">
        <f t="shared" si="128"/>
        <v>0</v>
      </c>
      <c r="N358" s="26">
        <f t="shared" si="128"/>
        <v>0</v>
      </c>
      <c r="O358" s="26">
        <f t="shared" si="128"/>
        <v>0</v>
      </c>
      <c r="P358" s="26">
        <f t="shared" si="128"/>
        <v>0</v>
      </c>
      <c r="Q358" s="26">
        <f t="shared" si="128"/>
        <v>0</v>
      </c>
      <c r="R358" s="26">
        <f t="shared" si="128"/>
        <v>0</v>
      </c>
      <c r="S358" s="26">
        <f t="shared" si="128"/>
        <v>0</v>
      </c>
      <c r="T358" s="26">
        <f t="shared" si="128"/>
        <v>0</v>
      </c>
      <c r="U358" s="26">
        <f t="shared" si="128"/>
        <v>0</v>
      </c>
      <c r="V358" s="26">
        <f t="shared" si="128"/>
        <v>0</v>
      </c>
      <c r="W358" s="26">
        <f t="shared" si="128"/>
        <v>0</v>
      </c>
      <c r="X358" s="26">
        <f t="shared" si="128"/>
        <v>0</v>
      </c>
      <c r="Y358" s="26">
        <f t="shared" si="128"/>
        <v>0</v>
      </c>
      <c r="Z358" s="26">
        <f t="shared" si="128"/>
        <v>0</v>
      </c>
      <c r="AA358" s="26">
        <f t="shared" si="128"/>
        <v>0</v>
      </c>
      <c r="AB358" s="26">
        <f t="shared" si="128"/>
        <v>0</v>
      </c>
      <c r="AC358" s="26">
        <f t="shared" si="128"/>
        <v>0</v>
      </c>
      <c r="AD358" s="26">
        <f t="shared" si="128"/>
        <v>0</v>
      </c>
      <c r="AE358" s="26">
        <f t="shared" si="128"/>
        <v>0</v>
      </c>
      <c r="AF358" s="26">
        <f t="shared" si="128"/>
        <v>0</v>
      </c>
      <c r="AG358" s="26">
        <f t="shared" si="128"/>
        <v>0</v>
      </c>
      <c r="AH358" s="26">
        <f t="shared" si="128"/>
        <v>0</v>
      </c>
      <c r="AI358" s="26">
        <f t="shared" si="128"/>
        <v>0</v>
      </c>
      <c r="AJ358" s="26"/>
    </row>
    <row r="359" spans="1:36">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spans="1:36">
      <c r="A360" s="41" t="s">
        <v>1243</v>
      </c>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spans="1:36">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row>
    <row r="362" spans="1:36">
      <c r="A362" s="26" t="s">
        <v>813</v>
      </c>
      <c r="B362" s="26">
        <f>$I$151*SUM($D$223:$D$224)*'TX SEDS'!C168</f>
        <v>21.090188138964553</v>
      </c>
      <c r="C362" s="26">
        <f>$I$151*SUM($D$223:$D$224)*'TX SEDS'!D168</f>
        <v>21.303279391553669</v>
      </c>
      <c r="D362" s="26">
        <f>$I$151*SUM($D$223:$D$224)*'TX SEDS'!E168</f>
        <v>21.516370644142786</v>
      </c>
      <c r="E362" s="26">
        <f>$I$151*SUM($D$223:$D$224)*'TX SEDS'!F168</f>
        <v>21.729461896731905</v>
      </c>
      <c r="F362" s="26">
        <f>$I$151*SUM($D$223:$D$224)*'TX SEDS'!G168</f>
        <v>21.942553149321022</v>
      </c>
      <c r="G362" s="26">
        <f>$I$151*SUM($D$223:$D$224)*'TX SEDS'!H168</f>
        <v>22.155644401910138</v>
      </c>
      <c r="H362" s="26">
        <f>$I$151*SUM($D$223:$D$224)*'TX SEDS'!I168</f>
        <v>22.368735654499254</v>
      </c>
      <c r="I362" s="26">
        <f>$I$151*SUM($D$223:$D$224)*'TX SEDS'!J168</f>
        <v>22.58182690708837</v>
      </c>
      <c r="J362" s="26">
        <f>$I$151*SUM($D$223:$D$224)*'TX SEDS'!K168</f>
        <v>22.79491815967749</v>
      </c>
      <c r="K362" s="26">
        <f>$I$151*SUM($D$223:$D$224)*'TX SEDS'!L168</f>
        <v>23.008009412266606</v>
      </c>
      <c r="L362" s="26">
        <f>$I$151*SUM($D$223:$D$224)*'TX SEDS'!M168</f>
        <v>23.221100664855722</v>
      </c>
      <c r="M362" s="26">
        <f>$I$151*SUM($D$223:$D$224)*'TX SEDS'!N168</f>
        <v>23.434191917444839</v>
      </c>
      <c r="N362" s="26">
        <f>$I$151*SUM($D$223:$D$224)*'TX SEDS'!O168</f>
        <v>23.647283170033958</v>
      </c>
      <c r="O362" s="26">
        <f>$I$151*SUM($D$223:$D$224)*'TX SEDS'!P168</f>
        <v>23.860374422623075</v>
      </c>
      <c r="P362" s="26">
        <f>$I$151*SUM($D$223:$D$224)*'TX SEDS'!Q168</f>
        <v>24.073465675212191</v>
      </c>
      <c r="Q362" s="26">
        <f>$I$151*SUM($D$223:$D$224)*'TX SEDS'!R168</f>
        <v>24.286556927801307</v>
      </c>
      <c r="R362" s="26">
        <f>$I$151*SUM($D$223:$D$224)*'TX SEDS'!S168</f>
        <v>24.499648180390427</v>
      </c>
      <c r="S362" s="26">
        <f>$I$151*SUM($D$223:$D$224)*'TX SEDS'!T168</f>
        <v>24.712739432979543</v>
      </c>
      <c r="T362" s="26">
        <f>$I$151*SUM($D$223:$D$224)*'TX SEDS'!U168</f>
        <v>24.925830685568659</v>
      </c>
      <c r="U362" s="26">
        <f>$I$151*SUM($D$223:$D$224)*'TX SEDS'!V168</f>
        <v>25.138921938157775</v>
      </c>
      <c r="V362" s="26">
        <f>$I$151*SUM($D$223:$D$224)*'TX SEDS'!W168</f>
        <v>25.352013190746895</v>
      </c>
      <c r="W362" s="26">
        <f>$I$151*SUM($D$223:$D$224)*'TX SEDS'!X168</f>
        <v>25.565104443336011</v>
      </c>
      <c r="X362" s="26">
        <f>$I$151*SUM($D$223:$D$224)*'TX SEDS'!Y168</f>
        <v>25.778195695925127</v>
      </c>
      <c r="Y362" s="26">
        <f>$I$151*SUM($D$223:$D$224)*'TX SEDS'!Z168</f>
        <v>25.991286948514244</v>
      </c>
      <c r="Z362" s="26">
        <f>$I$151*SUM($D$223:$D$224)*'TX SEDS'!AA168</f>
        <v>26.20437820110336</v>
      </c>
      <c r="AA362" s="26">
        <f>$I$151*SUM($D$223:$D$224)*'TX SEDS'!AB168</f>
        <v>26.417469453692483</v>
      </c>
      <c r="AB362" s="26">
        <f>$I$151*SUM($D$223:$D$224)*'TX SEDS'!AC168</f>
        <v>26.630560706281599</v>
      </c>
      <c r="AC362" s="26">
        <f>$I$151*SUM($D$223:$D$224)*'TX SEDS'!AD168</f>
        <v>26.843651958870716</v>
      </c>
      <c r="AD362" s="26">
        <f>$I$151*SUM($D$223:$D$224)*'TX SEDS'!AE168</f>
        <v>27.056743211459832</v>
      </c>
      <c r="AE362" s="26">
        <f>$I$151*SUM($D$223:$D$224)*'TX SEDS'!AF168</f>
        <v>27.269834464048948</v>
      </c>
      <c r="AF362" s="26">
        <f>$I$151*SUM($D$223:$D$224)*'TX SEDS'!AG168</f>
        <v>27.482925716638068</v>
      </c>
      <c r="AG362" s="26">
        <f>$I$151*SUM($D$223:$D$224)*'TX SEDS'!AH168</f>
        <v>27.696016969227184</v>
      </c>
      <c r="AH362" s="26">
        <f>$I$151*SUM($D$223:$D$224)*'TX SEDS'!AI168</f>
        <v>27.9091082218163</v>
      </c>
      <c r="AI362" s="26">
        <f>$I$151*SUM($D$223:$D$224)*'TX SEDS'!AJ168</f>
        <v>28.122199474405441</v>
      </c>
      <c r="AJ362" s="26"/>
    </row>
    <row r="363" spans="1:36">
      <c r="A363" s="26" t="s">
        <v>796</v>
      </c>
      <c r="B363" s="26">
        <f>SUM($I$135,$I$137)*SUM($K$223:$K$224)*'TX SEDS'!C173</f>
        <v>1.2437552066746933</v>
      </c>
      <c r="C363" s="26">
        <f>SUM($I$135,$I$137)*SUM($K$223:$K$224)*'TX SEDS'!D173</f>
        <v>1.2409943160018231</v>
      </c>
      <c r="D363" s="26">
        <f>SUM($I$135,$I$137)*SUM($K$223:$K$224)*'TX SEDS'!E173</f>
        <v>1.2382334253289526</v>
      </c>
      <c r="E363" s="26">
        <f>SUM($I$135,$I$137)*SUM($K$223:$K$224)*'TX SEDS'!F173</f>
        <v>1.2354725346560824</v>
      </c>
      <c r="F363" s="26">
        <f>SUM($I$135,$I$137)*SUM($K$223:$K$224)*'TX SEDS'!G173</f>
        <v>1.232711643983212</v>
      </c>
      <c r="G363" s="26">
        <f>SUM($I$135,$I$137)*SUM($K$223:$K$224)*'TX SEDS'!H173</f>
        <v>1.2299507533103418</v>
      </c>
      <c r="H363" s="26">
        <f>SUM($I$135,$I$137)*SUM($K$223:$K$224)*'TX SEDS'!I173</f>
        <v>1.2271898626374713</v>
      </c>
      <c r="I363" s="26">
        <f>SUM($I$135,$I$137)*SUM($K$223:$K$224)*'TX SEDS'!J173</f>
        <v>1.2244289719646009</v>
      </c>
      <c r="J363" s="26">
        <f>SUM($I$135,$I$137)*SUM($K$223:$K$224)*'TX SEDS'!K173</f>
        <v>1.2216680812917307</v>
      </c>
      <c r="K363" s="26">
        <f>SUM($I$135,$I$137)*SUM($K$223:$K$224)*'TX SEDS'!L173</f>
        <v>1.2189071906188602</v>
      </c>
      <c r="L363" s="26">
        <f>SUM($I$135,$I$137)*SUM($K$223:$K$224)*'TX SEDS'!M173</f>
        <v>1.21614629994599</v>
      </c>
      <c r="M363" s="26">
        <f>SUM($I$135,$I$137)*SUM($K$223:$K$224)*'TX SEDS'!N173</f>
        <v>1.2133854092731196</v>
      </c>
      <c r="N363" s="26">
        <f>SUM($I$135,$I$137)*SUM($K$223:$K$224)*'TX SEDS'!O173</f>
        <v>1.2106245186002493</v>
      </c>
      <c r="O363" s="26">
        <f>SUM($I$135,$I$137)*SUM($K$223:$K$224)*'TX SEDS'!P173</f>
        <v>1.2078636279273789</v>
      </c>
      <c r="P363" s="26">
        <f>SUM($I$135,$I$137)*SUM($K$223:$K$224)*'TX SEDS'!Q173</f>
        <v>1.2051027372545087</v>
      </c>
      <c r="Q363" s="26">
        <f>SUM($I$135,$I$137)*SUM($K$223:$K$224)*'TX SEDS'!R173</f>
        <v>1.2023418465816382</v>
      </c>
      <c r="R363" s="26">
        <f>SUM($I$135,$I$137)*SUM($K$223:$K$224)*'TX SEDS'!S173</f>
        <v>1.199580955908768</v>
      </c>
      <c r="S363" s="26">
        <f>SUM($I$135,$I$137)*SUM($K$223:$K$224)*'TX SEDS'!T173</f>
        <v>1.1968200652358976</v>
      </c>
      <c r="T363" s="26">
        <f>SUM($I$135,$I$137)*SUM($K$223:$K$224)*'TX SEDS'!U173</f>
        <v>1.1940591745630271</v>
      </c>
      <c r="U363" s="26">
        <f>SUM($I$135,$I$137)*SUM($K$223:$K$224)*'TX SEDS'!V173</f>
        <v>1.1912982838901569</v>
      </c>
      <c r="V363" s="26">
        <f>SUM($I$135,$I$137)*SUM($K$223:$K$224)*'TX SEDS'!W173</f>
        <v>1.1885373932172865</v>
      </c>
      <c r="W363" s="26">
        <f>SUM($I$135,$I$137)*SUM($K$223:$K$224)*'TX SEDS'!X173</f>
        <v>1.1857765025444162</v>
      </c>
      <c r="X363" s="26">
        <f>SUM($I$135,$I$137)*SUM($K$223:$K$224)*'TX SEDS'!Y173</f>
        <v>1.1830156118715458</v>
      </c>
      <c r="Y363" s="26">
        <f>SUM($I$135,$I$137)*SUM($K$223:$K$224)*'TX SEDS'!Z173</f>
        <v>1.1802547211986756</v>
      </c>
      <c r="Z363" s="26">
        <f>SUM($I$135,$I$137)*SUM($K$223:$K$224)*'TX SEDS'!AA173</f>
        <v>1.1774938305258051</v>
      </c>
      <c r="AA363" s="26">
        <f>SUM($I$135,$I$137)*SUM($K$223:$K$224)*'TX SEDS'!AB173</f>
        <v>1.1747329398529349</v>
      </c>
      <c r="AB363" s="26">
        <f>SUM($I$135,$I$137)*SUM($K$223:$K$224)*'TX SEDS'!AC173</f>
        <v>1.1719720491800645</v>
      </c>
      <c r="AC363" s="26">
        <f>SUM($I$135,$I$137)*SUM($K$223:$K$224)*'TX SEDS'!AD173</f>
        <v>1.1692111585071943</v>
      </c>
      <c r="AD363" s="26">
        <f>SUM($I$135,$I$137)*SUM($K$223:$K$224)*'TX SEDS'!AE173</f>
        <v>1.1664502678343238</v>
      </c>
      <c r="AE363" s="26">
        <f>SUM($I$135,$I$137)*SUM($K$223:$K$224)*'TX SEDS'!AF173</f>
        <v>1.1636893771614534</v>
      </c>
      <c r="AF363" s="26">
        <f>SUM($I$135,$I$137)*SUM($K$223:$K$224)*'TX SEDS'!AG173</f>
        <v>1.1609284864885832</v>
      </c>
      <c r="AG363" s="26">
        <f>SUM($I$135,$I$137)*SUM($K$223:$K$224)*'TX SEDS'!AH173</f>
        <v>1.1581675958157127</v>
      </c>
      <c r="AH363" s="26">
        <f>SUM($I$135,$I$137)*SUM($K$223:$K$224)*'TX SEDS'!AI173</f>
        <v>1.1554067051428425</v>
      </c>
      <c r="AI363" s="26">
        <f>SUM($I$135,$I$137)*SUM($K$223:$K$224)*'TX SEDS'!AJ173</f>
        <v>1.1526458144699729</v>
      </c>
      <c r="AJ363" s="26"/>
    </row>
    <row r="364" spans="1:36">
      <c r="A364" s="26" t="s">
        <v>1010</v>
      </c>
      <c r="B364" s="26">
        <f>$I$147*SUM($G$223:$G$224)*'TX SEDS'!C177</f>
        <v>30.209606834515142</v>
      </c>
      <c r="C364" s="26">
        <f>$I$147*SUM($G$223:$G$224)*'TX SEDS'!D177</f>
        <v>30.471195087269237</v>
      </c>
      <c r="D364" s="26">
        <f>$I$147*SUM($G$223:$G$224)*'TX SEDS'!E177</f>
        <v>30.732783340023332</v>
      </c>
      <c r="E364" s="26">
        <f>$I$147*SUM($G$223:$G$224)*'TX SEDS'!F177</f>
        <v>30.994371592777423</v>
      </c>
      <c r="F364" s="26">
        <f>$I$147*SUM($G$223:$G$224)*'TX SEDS'!G177</f>
        <v>31.255959845531518</v>
      </c>
      <c r="G364" s="26">
        <f>$I$147*SUM($G$223:$G$224)*'TX SEDS'!H177</f>
        <v>31.517548098285612</v>
      </c>
      <c r="H364" s="26">
        <f>$I$147*SUM($G$223:$G$224)*'TX SEDS'!I177</f>
        <v>31.779136351039707</v>
      </c>
      <c r="I364" s="26">
        <f>$I$147*SUM($G$223:$G$224)*'TX SEDS'!J177</f>
        <v>32.040724603793798</v>
      </c>
      <c r="J364" s="26">
        <f>$I$147*SUM($G$223:$G$224)*'TX SEDS'!K177</f>
        <v>32.302312856547893</v>
      </c>
      <c r="K364" s="26">
        <f>$I$147*SUM($G$223:$G$224)*'TX SEDS'!L177</f>
        <v>32.563901109301987</v>
      </c>
      <c r="L364" s="26">
        <f>$I$147*SUM($G$223:$G$224)*'TX SEDS'!M177</f>
        <v>32.825489362056089</v>
      </c>
      <c r="M364" s="26">
        <f>$I$147*SUM($G$223:$G$224)*'TX SEDS'!N177</f>
        <v>33.087077614810184</v>
      </c>
      <c r="N364" s="26">
        <f>$I$147*SUM($G$223:$G$224)*'TX SEDS'!O177</f>
        <v>33.348665867564286</v>
      </c>
      <c r="O364" s="26">
        <f>$I$147*SUM($G$223:$G$224)*'TX SEDS'!P177</f>
        <v>33.61025412031838</v>
      </c>
      <c r="P364" s="26">
        <f>$I$147*SUM($G$223:$G$224)*'TX SEDS'!Q177</f>
        <v>33.871842373072482</v>
      </c>
      <c r="Q364" s="26">
        <f>$I$147*SUM($G$223:$G$224)*'TX SEDS'!R177</f>
        <v>34.133430625826577</v>
      </c>
      <c r="R364" s="26">
        <f>$I$147*SUM($G$223:$G$224)*'TX SEDS'!S177</f>
        <v>34.395018878580672</v>
      </c>
      <c r="S364" s="26">
        <f>$I$147*SUM($G$223:$G$224)*'TX SEDS'!T177</f>
        <v>34.656607131334773</v>
      </c>
      <c r="T364" s="26">
        <f>$I$147*SUM($G$223:$G$224)*'TX SEDS'!U177</f>
        <v>34.918195384088868</v>
      </c>
      <c r="U364" s="26">
        <f>$I$147*SUM($G$223:$G$224)*'TX SEDS'!V177</f>
        <v>35.17978363684297</v>
      </c>
      <c r="V364" s="26">
        <f>$I$147*SUM($G$223:$G$224)*'TX SEDS'!W177</f>
        <v>35.441371889597065</v>
      </c>
      <c r="W364" s="26">
        <f>$I$147*SUM($G$223:$G$224)*'TX SEDS'!X177</f>
        <v>35.702960142351166</v>
      </c>
      <c r="X364" s="26">
        <f>$I$147*SUM($G$223:$G$224)*'TX SEDS'!Y177</f>
        <v>35.964548395105261</v>
      </c>
      <c r="Y364" s="26">
        <f>$I$147*SUM($G$223:$G$224)*'TX SEDS'!Z177</f>
        <v>36.226136647859363</v>
      </c>
      <c r="Z364" s="26">
        <f>$I$147*SUM($G$223:$G$224)*'TX SEDS'!AA177</f>
        <v>36.487724900613458</v>
      </c>
      <c r="AA364" s="26">
        <f>$I$147*SUM($G$223:$G$224)*'TX SEDS'!AB177</f>
        <v>36.749313153367552</v>
      </c>
      <c r="AB364" s="26">
        <f>$I$147*SUM($G$223:$G$224)*'TX SEDS'!AC177</f>
        <v>37.010901406121654</v>
      </c>
      <c r="AC364" s="26">
        <f>$I$147*SUM($G$223:$G$224)*'TX SEDS'!AD177</f>
        <v>37.272489658875749</v>
      </c>
      <c r="AD364" s="26">
        <f>$I$147*SUM($G$223:$G$224)*'TX SEDS'!AE177</f>
        <v>37.534077911629851</v>
      </c>
      <c r="AE364" s="26">
        <f>$I$147*SUM($G$223:$G$224)*'TX SEDS'!AF177</f>
        <v>37.795666164383945</v>
      </c>
      <c r="AF364" s="26">
        <f>$I$147*SUM($G$223:$G$224)*'TX SEDS'!AG177</f>
        <v>38.057254417138047</v>
      </c>
      <c r="AG364" s="26">
        <f>$I$147*SUM($G$223:$G$224)*'TX SEDS'!AH177</f>
        <v>38.318842669892142</v>
      </c>
      <c r="AH364" s="26">
        <f>$I$147*SUM($G$223:$G$224)*'TX SEDS'!AI177</f>
        <v>38.580430922646244</v>
      </c>
      <c r="AI364" s="26">
        <f>$I$147*SUM($G$223:$G$224)*'TX SEDS'!AJ177</f>
        <v>38.84201917540031</v>
      </c>
      <c r="AJ364" s="26"/>
    </row>
    <row r="365" spans="1:36">
      <c r="A365" s="26" t="s">
        <v>339</v>
      </c>
      <c r="B365" s="26">
        <f>SUM($L$223:$L$224)*$I$157*$BI$106*'TX SEDS'!C183</f>
        <v>3.4056758846715961E-2</v>
      </c>
      <c r="C365" s="26">
        <f>SUM($L$223:$L$224)*$I$157*$BI$106*'TX SEDS'!D183</f>
        <v>3.4126787024177645E-2</v>
      </c>
      <c r="D365" s="26">
        <f>SUM($L$223:$L$224)*$I$157*$BI$106*'TX SEDS'!E183</f>
        <v>3.4196815201639329E-2</v>
      </c>
      <c r="E365" s="26">
        <f>SUM($L$223:$L$224)*$I$157*$BI$106*'TX SEDS'!F183</f>
        <v>3.4266843379101013E-2</v>
      </c>
      <c r="F365" s="26">
        <f>SUM($L$223:$L$224)*$I$157*$BI$106*'TX SEDS'!G183</f>
        <v>3.4336871556562697E-2</v>
      </c>
      <c r="G365" s="26">
        <f>SUM($L$223:$L$224)*$I$157*$BI$106*'TX SEDS'!H183</f>
        <v>3.4406899734024374E-2</v>
      </c>
      <c r="H365" s="26">
        <f>SUM($L$223:$L$224)*$I$157*$BI$106*'TX SEDS'!I183</f>
        <v>3.4476927911486058E-2</v>
      </c>
      <c r="I365" s="26">
        <f>SUM($L$223:$L$224)*$I$157*$BI$106*'TX SEDS'!J183</f>
        <v>3.4546956088947742E-2</v>
      </c>
      <c r="J365" s="26">
        <f>SUM($L$223:$L$224)*$I$157*$BI$106*'TX SEDS'!K183</f>
        <v>3.4616984266409426E-2</v>
      </c>
      <c r="K365" s="26">
        <f>SUM($L$223:$L$224)*$I$157*$BI$106*'TX SEDS'!L183</f>
        <v>3.468701244387111E-2</v>
      </c>
      <c r="L365" s="26">
        <f>SUM($L$223:$L$224)*$I$157*$BI$106*'TX SEDS'!M183</f>
        <v>3.4757040621332794E-2</v>
      </c>
      <c r="M365" s="26">
        <f>SUM($L$223:$L$224)*$I$157*$BI$106*'TX SEDS'!N183</f>
        <v>3.4827068798794478E-2</v>
      </c>
      <c r="N365" s="26">
        <f>SUM($L$223:$L$224)*$I$157*$BI$106*'TX SEDS'!O183</f>
        <v>3.4897096976256162E-2</v>
      </c>
      <c r="O365" s="26">
        <f>SUM($L$223:$L$224)*$I$157*$BI$106*'TX SEDS'!P183</f>
        <v>3.4967125153717846E-2</v>
      </c>
      <c r="P365" s="26">
        <f>SUM($L$223:$L$224)*$I$157*$BI$106*'TX SEDS'!Q183</f>
        <v>3.5037153331179523E-2</v>
      </c>
      <c r="Q365" s="26">
        <f>SUM($L$223:$L$224)*$I$157*$BI$106*'TX SEDS'!R183</f>
        <v>3.5107181508641207E-2</v>
      </c>
      <c r="R365" s="26">
        <f>SUM($L$223:$L$224)*$I$157*$BI$106*'TX SEDS'!S183</f>
        <v>3.5177209686102891E-2</v>
      </c>
      <c r="S365" s="26">
        <f>SUM($L$223:$L$224)*$I$157*$BI$106*'TX SEDS'!T183</f>
        <v>3.5247237863564575E-2</v>
      </c>
      <c r="T365" s="26">
        <f>SUM($L$223:$L$224)*$I$157*$BI$106*'TX SEDS'!U183</f>
        <v>3.5317266041026259E-2</v>
      </c>
      <c r="U365" s="26">
        <f>SUM($L$223:$L$224)*$I$157*$BI$106*'TX SEDS'!V183</f>
        <v>3.5387294218487943E-2</v>
      </c>
      <c r="V365" s="26">
        <f>SUM($L$223:$L$224)*$I$157*$BI$106*'TX SEDS'!W183</f>
        <v>3.5457322395949627E-2</v>
      </c>
      <c r="W365" s="26">
        <f>SUM($L$223:$L$224)*$I$157*$BI$106*'TX SEDS'!X183</f>
        <v>3.5527350573411311E-2</v>
      </c>
      <c r="X365" s="26">
        <f>SUM($L$223:$L$224)*$I$157*$BI$106*'TX SEDS'!Y183</f>
        <v>3.5597378750872988E-2</v>
      </c>
      <c r="Y365" s="26">
        <f>SUM($L$223:$L$224)*$I$157*$BI$106*'TX SEDS'!Z183</f>
        <v>3.5667406928334672E-2</v>
      </c>
      <c r="Z365" s="26">
        <f>SUM($L$223:$L$224)*$I$157*$BI$106*'TX SEDS'!AA183</f>
        <v>3.5737435105796356E-2</v>
      </c>
      <c r="AA365" s="26">
        <f>SUM($L$223:$L$224)*$I$157*$BI$106*'TX SEDS'!AB183</f>
        <v>3.580746328325804E-2</v>
      </c>
      <c r="AB365" s="26">
        <f>SUM($L$223:$L$224)*$I$157*$BI$106*'TX SEDS'!AC183</f>
        <v>3.5877491460719724E-2</v>
      </c>
      <c r="AC365" s="26">
        <f>SUM($L$223:$L$224)*$I$157*$BI$106*'TX SEDS'!AD183</f>
        <v>3.5947519638181408E-2</v>
      </c>
      <c r="AD365" s="26">
        <f>SUM($L$223:$L$224)*$I$157*$BI$106*'TX SEDS'!AE183</f>
        <v>3.6017547815643092E-2</v>
      </c>
      <c r="AE365" s="26">
        <f>SUM($L$223:$L$224)*$I$157*$BI$106*'TX SEDS'!AF183</f>
        <v>3.6087575993104776E-2</v>
      </c>
      <c r="AF365" s="26">
        <f>SUM($L$223:$L$224)*$I$157*$BI$106*'TX SEDS'!AG183</f>
        <v>3.615760417056646E-2</v>
      </c>
      <c r="AG365" s="26">
        <f>SUM($L$223:$L$224)*$I$157*$BI$106*'TX SEDS'!AH183</f>
        <v>3.6227632348028137E-2</v>
      </c>
      <c r="AH365" s="26">
        <f>SUM($L$223:$L$224)*$I$157*$BI$106*'TX SEDS'!AI183</f>
        <v>3.6297660525489821E-2</v>
      </c>
      <c r="AI365" s="26">
        <f>SUM($L$223:$L$224)*$I$157*$BI$106*'TX SEDS'!AJ183</f>
        <v>3.6367688702951539E-2</v>
      </c>
      <c r="AJ365" s="26"/>
    </row>
    <row r="366" spans="1:36">
      <c r="A366" s="26" t="s">
        <v>1011</v>
      </c>
      <c r="B366" s="26">
        <f>$I$140*SUM($F$223:$F$224)*'TX SEDS'!C187</f>
        <v>0.1256861053122765</v>
      </c>
      <c r="C366" s="26">
        <f>$I$140*SUM($F$223:$F$224)*'TX SEDS'!D187</f>
        <v>0.12722340984496558</v>
      </c>
      <c r="D366" s="26">
        <f>$I$140*SUM($F$223:$F$224)*'TX SEDS'!E187</f>
        <v>0.12876071437765466</v>
      </c>
      <c r="E366" s="26">
        <f>$I$140*SUM($F$223:$F$224)*'TX SEDS'!F187</f>
        <v>0.1302980189103437</v>
      </c>
      <c r="F366" s="26">
        <f>$I$140*SUM($F$223:$F$224)*'TX SEDS'!G187</f>
        <v>0.13183532344303278</v>
      </c>
      <c r="G366" s="26">
        <f>$I$140*SUM($F$223:$F$224)*'TX SEDS'!H187</f>
        <v>0.13337262797572186</v>
      </c>
      <c r="H366" s="26">
        <f>$I$140*SUM($F$223:$F$224)*'TX SEDS'!I187</f>
        <v>0.13490993250841091</v>
      </c>
      <c r="I366" s="26">
        <f>$I$140*SUM($F$223:$F$224)*'TX SEDS'!J187</f>
        <v>0.13644723704109998</v>
      </c>
      <c r="J366" s="26">
        <f>$I$140*SUM($F$223:$F$224)*'TX SEDS'!K187</f>
        <v>0.13798454157378906</v>
      </c>
      <c r="K366" s="26">
        <f>$I$140*SUM($F$223:$F$224)*'TX SEDS'!L187</f>
        <v>0.13952184610647811</v>
      </c>
      <c r="L366" s="26">
        <f>$I$140*SUM($F$223:$F$224)*'TX SEDS'!M187</f>
        <v>0.14105915063916719</v>
      </c>
      <c r="M366" s="26">
        <f>$I$140*SUM($F$223:$F$224)*'TX SEDS'!N187</f>
        <v>0.14259645517185623</v>
      </c>
      <c r="N366" s="26">
        <f>$I$140*SUM($F$223:$F$224)*'TX SEDS'!O187</f>
        <v>0.14413375970454531</v>
      </c>
      <c r="O366" s="26">
        <f>$I$140*SUM($F$223:$F$224)*'TX SEDS'!P187</f>
        <v>0.14567106423723439</v>
      </c>
      <c r="P366" s="26">
        <f>$I$140*SUM($F$223:$F$224)*'TX SEDS'!Q187</f>
        <v>0.14720836876992344</v>
      </c>
      <c r="Q366" s="26">
        <f>$I$140*SUM($F$223:$F$224)*'TX SEDS'!R187</f>
        <v>0.14874567330261251</v>
      </c>
      <c r="R366" s="26">
        <f>$I$140*SUM($F$223:$F$224)*'TX SEDS'!S187</f>
        <v>0.15028297783530159</v>
      </c>
      <c r="S366" s="26">
        <f>$I$140*SUM($F$223:$F$224)*'TX SEDS'!T187</f>
        <v>0.15182028236799064</v>
      </c>
      <c r="T366" s="26">
        <f>$I$140*SUM($F$223:$F$224)*'TX SEDS'!U187</f>
        <v>0.15335758690067972</v>
      </c>
      <c r="U366" s="26">
        <f>$I$140*SUM($F$223:$F$224)*'TX SEDS'!V187</f>
        <v>0.15489489143336879</v>
      </c>
      <c r="V366" s="26">
        <f>$I$140*SUM($F$223:$F$224)*'TX SEDS'!W187</f>
        <v>0.15643219596605784</v>
      </c>
      <c r="W366" s="26">
        <f>$I$140*SUM($F$223:$F$224)*'TX SEDS'!X187</f>
        <v>0.15796950049874692</v>
      </c>
      <c r="X366" s="26">
        <f>$I$140*SUM($F$223:$F$224)*'TX SEDS'!Y187</f>
        <v>0.15950680503143599</v>
      </c>
      <c r="Y366" s="26">
        <f>$I$140*SUM($F$223:$F$224)*'TX SEDS'!Z187</f>
        <v>0.16104410956412504</v>
      </c>
      <c r="Z366" s="26">
        <f>$I$140*SUM($F$223:$F$224)*'TX SEDS'!AA187</f>
        <v>0.16258141409681412</v>
      </c>
      <c r="AA366" s="26">
        <f>$I$140*SUM($F$223:$F$224)*'TX SEDS'!AB187</f>
        <v>0.16411871862950317</v>
      </c>
      <c r="AB366" s="26">
        <f>$I$140*SUM($F$223:$F$224)*'TX SEDS'!AC187</f>
        <v>0.16565602316219225</v>
      </c>
      <c r="AC366" s="26">
        <f>$I$140*SUM($F$223:$F$224)*'TX SEDS'!AD187</f>
        <v>0.16719332769488132</v>
      </c>
      <c r="AD366" s="26">
        <f>$I$140*SUM($F$223:$F$224)*'TX SEDS'!AE187</f>
        <v>0.16873063222757037</v>
      </c>
      <c r="AE366" s="26">
        <f>$I$140*SUM($F$223:$F$224)*'TX SEDS'!AF187</f>
        <v>0.17026793676025945</v>
      </c>
      <c r="AF366" s="26">
        <f>$I$140*SUM($F$223:$F$224)*'TX SEDS'!AG187</f>
        <v>0.17180524129294852</v>
      </c>
      <c r="AG366" s="26">
        <f>$I$140*SUM($F$223:$F$224)*'TX SEDS'!AH187</f>
        <v>0.17334254582563757</v>
      </c>
      <c r="AH366" s="26">
        <f>$I$140*SUM($F$223:$F$224)*'TX SEDS'!AI187</f>
        <v>0.17487985035832665</v>
      </c>
      <c r="AI366" s="26">
        <f>$I$140*SUM($F$223:$F$224)*'TX SEDS'!AJ187</f>
        <v>0.17641715489101578</v>
      </c>
      <c r="AJ366" s="26"/>
    </row>
    <row r="367" spans="1:36">
      <c r="A367" s="26" t="s">
        <v>1012</v>
      </c>
      <c r="B367" s="26">
        <v>0</v>
      </c>
      <c r="C367" s="26">
        <v>0</v>
      </c>
      <c r="D367" s="26">
        <v>0</v>
      </c>
      <c r="E367" s="26">
        <v>0</v>
      </c>
      <c r="F367" s="26">
        <v>0</v>
      </c>
      <c r="G367" s="26">
        <v>0</v>
      </c>
      <c r="H367" s="26">
        <v>0</v>
      </c>
      <c r="I367" s="26">
        <v>0</v>
      </c>
      <c r="J367" s="26">
        <v>0</v>
      </c>
      <c r="K367" s="26">
        <v>0</v>
      </c>
      <c r="L367" s="26">
        <v>0</v>
      </c>
      <c r="M367" s="26">
        <v>0</v>
      </c>
      <c r="N367" s="26">
        <v>0</v>
      </c>
      <c r="O367" s="26">
        <v>0</v>
      </c>
      <c r="P367" s="26">
        <v>0</v>
      </c>
      <c r="Q367" s="26">
        <v>0</v>
      </c>
      <c r="R367" s="26">
        <v>0</v>
      </c>
      <c r="S367" s="26">
        <v>0</v>
      </c>
      <c r="T367" s="26">
        <v>0</v>
      </c>
      <c r="U367" s="26">
        <v>0</v>
      </c>
      <c r="V367" s="26">
        <v>0</v>
      </c>
      <c r="W367" s="26">
        <v>0</v>
      </c>
      <c r="X367" s="26">
        <v>0</v>
      </c>
      <c r="Y367" s="26">
        <v>0</v>
      </c>
      <c r="Z367" s="26">
        <v>0</v>
      </c>
      <c r="AA367" s="26">
        <v>0</v>
      </c>
      <c r="AB367" s="26">
        <v>0</v>
      </c>
      <c r="AC367" s="26">
        <v>0</v>
      </c>
      <c r="AD367" s="26">
        <v>0</v>
      </c>
      <c r="AE367" s="26">
        <v>0</v>
      </c>
      <c r="AF367" s="26">
        <v>0</v>
      </c>
      <c r="AG367" s="26">
        <v>0</v>
      </c>
      <c r="AH367" s="26">
        <v>0</v>
      </c>
      <c r="AI367" s="26">
        <v>0</v>
      </c>
      <c r="AJ367" s="26"/>
    </row>
    <row r="368" spans="1:36">
      <c r="A368" s="26" t="s">
        <v>323</v>
      </c>
      <c r="B368" s="26">
        <v>0</v>
      </c>
      <c r="C368" s="26">
        <v>0</v>
      </c>
      <c r="D368" s="26">
        <v>0</v>
      </c>
      <c r="E368" s="26">
        <v>0</v>
      </c>
      <c r="F368" s="26">
        <v>0</v>
      </c>
      <c r="G368" s="26">
        <v>0</v>
      </c>
      <c r="H368" s="26">
        <v>0</v>
      </c>
      <c r="I368" s="26">
        <v>0</v>
      </c>
      <c r="J368" s="26">
        <v>0</v>
      </c>
      <c r="K368" s="26">
        <v>0</v>
      </c>
      <c r="L368" s="26">
        <v>0</v>
      </c>
      <c r="M368" s="26">
        <v>0</v>
      </c>
      <c r="N368" s="26">
        <v>0</v>
      </c>
      <c r="O368" s="26">
        <v>0</v>
      </c>
      <c r="P368" s="26">
        <v>0</v>
      </c>
      <c r="Q368" s="26">
        <v>0</v>
      </c>
      <c r="R368" s="26">
        <v>0</v>
      </c>
      <c r="S368" s="26">
        <v>0</v>
      </c>
      <c r="T368" s="26">
        <v>0</v>
      </c>
      <c r="U368" s="26">
        <v>0</v>
      </c>
      <c r="V368" s="26">
        <v>0</v>
      </c>
      <c r="W368" s="26">
        <v>0</v>
      </c>
      <c r="X368" s="26">
        <v>0</v>
      </c>
      <c r="Y368" s="26">
        <v>0</v>
      </c>
      <c r="Z368" s="26">
        <v>0</v>
      </c>
      <c r="AA368" s="26">
        <v>0</v>
      </c>
      <c r="AB368" s="26">
        <v>0</v>
      </c>
      <c r="AC368" s="26">
        <v>0</v>
      </c>
      <c r="AD368" s="26">
        <v>0</v>
      </c>
      <c r="AE368" s="26">
        <v>0</v>
      </c>
      <c r="AF368" s="26">
        <v>0</v>
      </c>
      <c r="AG368" s="26">
        <v>0</v>
      </c>
      <c r="AH368" s="26">
        <v>0</v>
      </c>
      <c r="AI368" s="26">
        <v>0</v>
      </c>
      <c r="AJ368" s="26"/>
    </row>
    <row r="369" spans="1:36">
      <c r="A369" s="26" t="s">
        <v>342</v>
      </c>
      <c r="B369" s="26">
        <f>$I$154*SUM($E$223:$E$224)*'TX SEDS'!C197</f>
        <v>0</v>
      </c>
      <c r="C369" s="26">
        <f>$I$154*SUM($E$223:$E$224)*'TX SEDS'!D197</f>
        <v>0</v>
      </c>
      <c r="D369" s="26">
        <f>$I$154*SUM($E$223:$E$224)*'TX SEDS'!E197</f>
        <v>0</v>
      </c>
      <c r="E369" s="26">
        <f>$I$154*SUM($E$223:$E$224)*'TX SEDS'!F197</f>
        <v>0</v>
      </c>
      <c r="F369" s="26">
        <f>$I$154*SUM($E$223:$E$224)*'TX SEDS'!G197</f>
        <v>0</v>
      </c>
      <c r="G369" s="26">
        <f>$I$154*SUM($E$223:$E$224)*'TX SEDS'!H197</f>
        <v>0</v>
      </c>
      <c r="H369" s="26">
        <f>$I$154*SUM($E$223:$E$224)*'TX SEDS'!I197</f>
        <v>0</v>
      </c>
      <c r="I369" s="26">
        <f>$I$154*SUM($E$223:$E$224)*'TX SEDS'!J197</f>
        <v>0</v>
      </c>
      <c r="J369" s="26">
        <f>$I$154*SUM($E$223:$E$224)*'TX SEDS'!K197</f>
        <v>0</v>
      </c>
      <c r="K369" s="26">
        <f>$I$154*SUM($E$223:$E$224)*'TX SEDS'!L197</f>
        <v>0</v>
      </c>
      <c r="L369" s="26">
        <f>$I$154*SUM($E$223:$E$224)*'TX SEDS'!M197</f>
        <v>0</v>
      </c>
      <c r="M369" s="26">
        <f>$I$154*SUM($E$223:$E$224)*'TX SEDS'!N197</f>
        <v>0</v>
      </c>
      <c r="N369" s="26">
        <f>$I$154*SUM($E$223:$E$224)*'TX SEDS'!O197</f>
        <v>0</v>
      </c>
      <c r="O369" s="26">
        <f>$I$154*SUM($E$223:$E$224)*'TX SEDS'!P197</f>
        <v>0</v>
      </c>
      <c r="P369" s="26">
        <f>$I$154*SUM($E$223:$E$224)*'TX SEDS'!Q197</f>
        <v>0</v>
      </c>
      <c r="Q369" s="26">
        <f>$I$154*SUM($E$223:$E$224)*'TX SEDS'!R197</f>
        <v>0</v>
      </c>
      <c r="R369" s="26">
        <f>$I$154*SUM($E$223:$E$224)*'TX SEDS'!S197</f>
        <v>0</v>
      </c>
      <c r="S369" s="26">
        <f>$I$154*SUM($E$223:$E$224)*'TX SEDS'!T197</f>
        <v>0</v>
      </c>
      <c r="T369" s="26">
        <f>$I$154*SUM($E$223:$E$224)*'TX SEDS'!U197</f>
        <v>0</v>
      </c>
      <c r="U369" s="26">
        <f>$I$154*SUM($E$223:$E$224)*'TX SEDS'!V197</f>
        <v>0</v>
      </c>
      <c r="V369" s="26">
        <f>$I$154*SUM($E$223:$E$224)*'TX SEDS'!W197</f>
        <v>0</v>
      </c>
      <c r="W369" s="26">
        <f>$I$154*SUM($E$223:$E$224)*'TX SEDS'!X197</f>
        <v>0</v>
      </c>
      <c r="X369" s="26">
        <f>$I$154*SUM($E$223:$E$224)*'TX SEDS'!Y197</f>
        <v>0</v>
      </c>
      <c r="Y369" s="26">
        <f>$I$154*SUM($E$223:$E$224)*'TX SEDS'!Z197</f>
        <v>0</v>
      </c>
      <c r="Z369" s="26">
        <f>$I$154*SUM($E$223:$E$224)*'TX SEDS'!AA197</f>
        <v>0</v>
      </c>
      <c r="AA369" s="26">
        <f>$I$154*SUM($E$223:$E$224)*'TX SEDS'!AB197</f>
        <v>0</v>
      </c>
      <c r="AB369" s="26">
        <f>$I$154*SUM($E$223:$E$224)*'TX SEDS'!AC197</f>
        <v>0</v>
      </c>
      <c r="AC369" s="26">
        <f>$I$154*SUM($E$223:$E$224)*'TX SEDS'!AD197</f>
        <v>0</v>
      </c>
      <c r="AD369" s="26">
        <f>$I$154*SUM($E$223:$E$224)*'TX SEDS'!AE197</f>
        <v>0</v>
      </c>
      <c r="AE369" s="26">
        <f>$I$154*SUM($E$223:$E$224)*'TX SEDS'!AF197</f>
        <v>0</v>
      </c>
      <c r="AF369" s="26">
        <f>$I$154*SUM($E$223:$E$224)*'TX SEDS'!AG197</f>
        <v>0</v>
      </c>
      <c r="AG369" s="26">
        <f>$I$154*SUM($E$223:$E$224)*'TX SEDS'!AH197</f>
        <v>0</v>
      </c>
      <c r="AH369" s="26">
        <f>$I$154*SUM($E$223:$E$224)*'TX SEDS'!AI197</f>
        <v>0</v>
      </c>
      <c r="AI369" s="26">
        <f>$I$154*SUM($E$223:$E$224)*'TX SEDS'!AJ197</f>
        <v>0</v>
      </c>
      <c r="AJ369" s="26"/>
    </row>
    <row r="370" spans="1:36">
      <c r="A370" s="26" t="s">
        <v>1013</v>
      </c>
      <c r="B370" s="26">
        <f>$I$144*SUM($H$223:$H$224)*'TX SEDS'!C201</f>
        <v>0</v>
      </c>
      <c r="C370" s="26">
        <f>$I$144*SUM($H$223:$H$224)*'TX SEDS'!D201</f>
        <v>0</v>
      </c>
      <c r="D370" s="26">
        <f>$I$144*SUM($H$223:$H$224)*'TX SEDS'!E201</f>
        <v>0</v>
      </c>
      <c r="E370" s="26">
        <f>$I$144*SUM($H$223:$H$224)*'TX SEDS'!F201</f>
        <v>0</v>
      </c>
      <c r="F370" s="26">
        <f>$I$144*SUM($H$223:$H$224)*'TX SEDS'!G201</f>
        <v>0</v>
      </c>
      <c r="G370" s="26">
        <f>$I$144*SUM($H$223:$H$224)*'TX SEDS'!H201</f>
        <v>0</v>
      </c>
      <c r="H370" s="26">
        <f>$I$144*SUM($H$223:$H$224)*'TX SEDS'!I201</f>
        <v>0</v>
      </c>
      <c r="I370" s="26">
        <f>$I$144*SUM($H$223:$H$224)*'TX SEDS'!J201</f>
        <v>0</v>
      </c>
      <c r="J370" s="26">
        <f>$I$144*SUM($H$223:$H$224)*'TX SEDS'!K201</f>
        <v>0</v>
      </c>
      <c r="K370" s="26">
        <f>$I$144*SUM($H$223:$H$224)*'TX SEDS'!L201</f>
        <v>0</v>
      </c>
      <c r="L370" s="26">
        <f>$I$144*SUM($H$223:$H$224)*'TX SEDS'!M201</f>
        <v>0</v>
      </c>
      <c r="M370" s="26">
        <f>$I$144*SUM($H$223:$H$224)*'TX SEDS'!N201</f>
        <v>0</v>
      </c>
      <c r="N370" s="26">
        <f>$I$144*SUM($H$223:$H$224)*'TX SEDS'!O201</f>
        <v>0</v>
      </c>
      <c r="O370" s="26">
        <f>$I$144*SUM($H$223:$H$224)*'TX SEDS'!P201</f>
        <v>0</v>
      </c>
      <c r="P370" s="26">
        <f>$I$144*SUM($H$223:$H$224)*'TX SEDS'!Q201</f>
        <v>0</v>
      </c>
      <c r="Q370" s="26">
        <f>$I$144*SUM($H$223:$H$224)*'TX SEDS'!R201</f>
        <v>0</v>
      </c>
      <c r="R370" s="26">
        <f>$I$144*SUM($H$223:$H$224)*'TX SEDS'!S201</f>
        <v>0</v>
      </c>
      <c r="S370" s="26">
        <f>$I$144*SUM($H$223:$H$224)*'TX SEDS'!T201</f>
        <v>0</v>
      </c>
      <c r="T370" s="26">
        <f>$I$144*SUM($H$223:$H$224)*'TX SEDS'!U201</f>
        <v>0</v>
      </c>
      <c r="U370" s="26">
        <f>$I$144*SUM($H$223:$H$224)*'TX SEDS'!V201</f>
        <v>0</v>
      </c>
      <c r="V370" s="26">
        <f>$I$144*SUM($H$223:$H$224)*'TX SEDS'!W201</f>
        <v>0</v>
      </c>
      <c r="W370" s="26">
        <f>$I$144*SUM($H$223:$H$224)*'TX SEDS'!X201</f>
        <v>0</v>
      </c>
      <c r="X370" s="26">
        <f>$I$144*SUM($H$223:$H$224)*'TX SEDS'!Y201</f>
        <v>0</v>
      </c>
      <c r="Y370" s="26">
        <f>$I$144*SUM($H$223:$H$224)*'TX SEDS'!Z201</f>
        <v>0</v>
      </c>
      <c r="Z370" s="26">
        <f>$I$144*SUM($H$223:$H$224)*'TX SEDS'!AA201</f>
        <v>0</v>
      </c>
      <c r="AA370" s="26">
        <f>$I$144*SUM($H$223:$H$224)*'TX SEDS'!AB201</f>
        <v>0</v>
      </c>
      <c r="AB370" s="26">
        <f>$I$144*SUM($H$223:$H$224)*'TX SEDS'!AC201</f>
        <v>0</v>
      </c>
      <c r="AC370" s="26">
        <f>$I$144*SUM($H$223:$H$224)*'TX SEDS'!AD201</f>
        <v>0</v>
      </c>
      <c r="AD370" s="26">
        <f>$I$144*SUM($H$223:$H$224)*'TX SEDS'!AE201</f>
        <v>0</v>
      </c>
      <c r="AE370" s="26">
        <f>$I$144*SUM($H$223:$H$224)*'TX SEDS'!AF201</f>
        <v>0</v>
      </c>
      <c r="AF370" s="26">
        <f>$I$144*SUM($H$223:$H$224)*'TX SEDS'!AG201</f>
        <v>0</v>
      </c>
      <c r="AG370" s="26">
        <f>$I$144*SUM($H$223:$H$224)*'TX SEDS'!AH201</f>
        <v>0</v>
      </c>
      <c r="AH370" s="26">
        <f>$I$144*SUM($H$223:$H$224)*'TX SEDS'!AI201</f>
        <v>0</v>
      </c>
      <c r="AI370" s="26">
        <f>$I$144*SUM($H$223:$H$224)*'TX SEDS'!AJ201</f>
        <v>0</v>
      </c>
      <c r="AJ370" s="26"/>
    </row>
    <row r="371" spans="1:36">
      <c r="A371" s="26" t="s">
        <v>1014</v>
      </c>
      <c r="B371" s="26">
        <v>0</v>
      </c>
      <c r="C371" s="26">
        <f>B371</f>
        <v>0</v>
      </c>
      <c r="D371" s="26">
        <f t="shared" ref="D371:F371" si="129">C371</f>
        <v>0</v>
      </c>
      <c r="E371" s="26">
        <f t="shared" si="129"/>
        <v>0</v>
      </c>
      <c r="F371" s="26">
        <f t="shared" si="129"/>
        <v>0</v>
      </c>
      <c r="G371" s="26">
        <f t="shared" ref="G371:AI371" si="130">F371</f>
        <v>0</v>
      </c>
      <c r="H371" s="26">
        <f t="shared" si="130"/>
        <v>0</v>
      </c>
      <c r="I371" s="26">
        <f t="shared" si="130"/>
        <v>0</v>
      </c>
      <c r="J371" s="26">
        <f t="shared" si="130"/>
        <v>0</v>
      </c>
      <c r="K371" s="26">
        <f t="shared" si="130"/>
        <v>0</v>
      </c>
      <c r="L371" s="26">
        <f t="shared" si="130"/>
        <v>0</v>
      </c>
      <c r="M371" s="26">
        <f t="shared" si="130"/>
        <v>0</v>
      </c>
      <c r="N371" s="26">
        <f t="shared" si="130"/>
        <v>0</v>
      </c>
      <c r="O371" s="26">
        <f t="shared" si="130"/>
        <v>0</v>
      </c>
      <c r="P371" s="26">
        <f t="shared" si="130"/>
        <v>0</v>
      </c>
      <c r="Q371" s="26">
        <f t="shared" si="130"/>
        <v>0</v>
      </c>
      <c r="R371" s="26">
        <f t="shared" si="130"/>
        <v>0</v>
      </c>
      <c r="S371" s="26">
        <f t="shared" si="130"/>
        <v>0</v>
      </c>
      <c r="T371" s="26">
        <f t="shared" si="130"/>
        <v>0</v>
      </c>
      <c r="U371" s="26">
        <f t="shared" si="130"/>
        <v>0</v>
      </c>
      <c r="V371" s="26">
        <f t="shared" si="130"/>
        <v>0</v>
      </c>
      <c r="W371" s="26">
        <f t="shared" si="130"/>
        <v>0</v>
      </c>
      <c r="X371" s="26">
        <f t="shared" si="130"/>
        <v>0</v>
      </c>
      <c r="Y371" s="26">
        <f t="shared" si="130"/>
        <v>0</v>
      </c>
      <c r="Z371" s="26">
        <f t="shared" si="130"/>
        <v>0</v>
      </c>
      <c r="AA371" s="26">
        <f t="shared" si="130"/>
        <v>0</v>
      </c>
      <c r="AB371" s="26">
        <f t="shared" si="130"/>
        <v>0</v>
      </c>
      <c r="AC371" s="26">
        <f t="shared" si="130"/>
        <v>0</v>
      </c>
      <c r="AD371" s="26">
        <f t="shared" si="130"/>
        <v>0</v>
      </c>
      <c r="AE371" s="26">
        <f t="shared" si="130"/>
        <v>0</v>
      </c>
      <c r="AF371" s="26">
        <f t="shared" si="130"/>
        <v>0</v>
      </c>
      <c r="AG371" s="26">
        <f t="shared" si="130"/>
        <v>0</v>
      </c>
      <c r="AH371" s="26">
        <f t="shared" si="130"/>
        <v>0</v>
      </c>
      <c r="AI371" s="26">
        <f t="shared" si="130"/>
        <v>0</v>
      </c>
      <c r="AJ371" s="26"/>
    </row>
    <row r="372" spans="1:36">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spans="1:36">
      <c r="A373" s="41" t="s">
        <v>1244</v>
      </c>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spans="1:36">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row>
    <row r="375" spans="1:36">
      <c r="A375" s="26" t="s">
        <v>813</v>
      </c>
      <c r="B375" s="26">
        <f>$I$151*SUM($D$219:$D$220)*'TX SEDS'!C168</f>
        <v>71.838453348348011</v>
      </c>
      <c r="C375" s="26">
        <f>$I$151*SUM($D$219:$D$220)*'TX SEDS'!D168</f>
        <v>72.564295427479692</v>
      </c>
      <c r="D375" s="26">
        <f>$I$151*SUM($D$219:$D$220)*'TX SEDS'!E168</f>
        <v>73.290137506611359</v>
      </c>
      <c r="E375" s="26">
        <f>$I$151*SUM($D$219:$D$220)*'TX SEDS'!F168</f>
        <v>74.01597958574304</v>
      </c>
      <c r="F375" s="26">
        <f>$I$151*SUM($D$219:$D$220)*'TX SEDS'!G168</f>
        <v>74.74182166487472</v>
      </c>
      <c r="G375" s="26">
        <f>$I$151*SUM($D$219:$D$220)*'TX SEDS'!H168</f>
        <v>75.467663744006401</v>
      </c>
      <c r="H375" s="26">
        <f>$I$151*SUM($D$219:$D$220)*'TX SEDS'!I168</f>
        <v>76.193505823138082</v>
      </c>
      <c r="I375" s="26">
        <f>$I$151*SUM($D$219:$D$220)*'TX SEDS'!J168</f>
        <v>76.919347902269763</v>
      </c>
      <c r="J375" s="26">
        <f>$I$151*SUM($D$219:$D$220)*'TX SEDS'!K168</f>
        <v>77.645189981401444</v>
      </c>
      <c r="K375" s="26">
        <f>$I$151*SUM($D$219:$D$220)*'TX SEDS'!L168</f>
        <v>78.371032060533125</v>
      </c>
      <c r="L375" s="26">
        <f>$I$151*SUM($D$219:$D$220)*'TX SEDS'!M168</f>
        <v>79.096874139664806</v>
      </c>
      <c r="M375" s="26">
        <f>$I$151*SUM($D$219:$D$220)*'TX SEDS'!N168</f>
        <v>79.822716218796486</v>
      </c>
      <c r="N375" s="26">
        <f>$I$151*SUM($D$219:$D$220)*'TX SEDS'!O168</f>
        <v>80.548558297928167</v>
      </c>
      <c r="O375" s="26">
        <f>$I$151*SUM($D$219:$D$220)*'TX SEDS'!P168</f>
        <v>81.274400377059848</v>
      </c>
      <c r="P375" s="26">
        <f>$I$151*SUM($D$219:$D$220)*'TX SEDS'!Q168</f>
        <v>82.000242456191529</v>
      </c>
      <c r="Q375" s="26">
        <f>$I$151*SUM($D$219:$D$220)*'TX SEDS'!R168</f>
        <v>82.72608453532321</v>
      </c>
      <c r="R375" s="26">
        <f>$I$151*SUM($D$219:$D$220)*'TX SEDS'!S168</f>
        <v>83.451926614454891</v>
      </c>
      <c r="S375" s="26">
        <f>$I$151*SUM($D$219:$D$220)*'TX SEDS'!T168</f>
        <v>84.177768693586557</v>
      </c>
      <c r="T375" s="26">
        <f>$I$151*SUM($D$219:$D$220)*'TX SEDS'!U168</f>
        <v>84.903610772718238</v>
      </c>
      <c r="U375" s="26">
        <f>$I$151*SUM($D$219:$D$220)*'TX SEDS'!V168</f>
        <v>85.629452851849919</v>
      </c>
      <c r="V375" s="26">
        <f>$I$151*SUM($D$219:$D$220)*'TX SEDS'!W168</f>
        <v>86.3552949309816</v>
      </c>
      <c r="W375" s="26">
        <f>$I$151*SUM($D$219:$D$220)*'TX SEDS'!X168</f>
        <v>87.081137010113281</v>
      </c>
      <c r="X375" s="26">
        <f>$I$151*SUM($D$219:$D$220)*'TX SEDS'!Y168</f>
        <v>87.806979089244962</v>
      </c>
      <c r="Y375" s="26">
        <f>$I$151*SUM($D$219:$D$220)*'TX SEDS'!Z168</f>
        <v>88.532821168376643</v>
      </c>
      <c r="Z375" s="26">
        <f>$I$151*SUM($D$219:$D$220)*'TX SEDS'!AA168</f>
        <v>89.258663247508323</v>
      </c>
      <c r="AA375" s="26">
        <f>$I$151*SUM($D$219:$D$220)*'TX SEDS'!AB168</f>
        <v>89.984505326640019</v>
      </c>
      <c r="AB375" s="26">
        <f>$I$151*SUM($D$219:$D$220)*'TX SEDS'!AC168</f>
        <v>90.710347405771699</v>
      </c>
      <c r="AC375" s="26">
        <f>$I$151*SUM($D$219:$D$220)*'TX SEDS'!AD168</f>
        <v>91.436189484903366</v>
      </c>
      <c r="AD375" s="26">
        <f>$I$151*SUM($D$219:$D$220)*'TX SEDS'!AE168</f>
        <v>92.162031564035047</v>
      </c>
      <c r="AE375" s="26">
        <f>$I$151*SUM($D$219:$D$220)*'TX SEDS'!AF168</f>
        <v>92.887873643166728</v>
      </c>
      <c r="AF375" s="26">
        <f>$I$151*SUM($D$219:$D$220)*'TX SEDS'!AG168</f>
        <v>93.613715722298409</v>
      </c>
      <c r="AG375" s="26">
        <f>$I$151*SUM($D$219:$D$220)*'TX SEDS'!AH168</f>
        <v>94.33955780143009</v>
      </c>
      <c r="AH375" s="26">
        <f>$I$151*SUM($D$219:$D$220)*'TX SEDS'!AI168</f>
        <v>95.06539988056177</v>
      </c>
      <c r="AI375" s="26">
        <f>$I$151*SUM($D$219:$D$220)*'TX SEDS'!AJ168</f>
        <v>95.791241959693537</v>
      </c>
      <c r="AJ375" s="26"/>
    </row>
    <row r="376" spans="1:36">
      <c r="A376" s="26" t="s">
        <v>796</v>
      </c>
      <c r="B376" s="26">
        <f>SUM($I$135,$I$137)*SUM($K$219:$K$220)*'TX SEDS'!C173</f>
        <v>1.6780824217039514</v>
      </c>
      <c r="C376" s="26">
        <f>SUM($I$135,$I$137)*SUM($K$219:$K$220)*'TX SEDS'!D173</f>
        <v>1.6743574104786503</v>
      </c>
      <c r="D376" s="26">
        <f>SUM($I$135,$I$137)*SUM($K$219:$K$220)*'TX SEDS'!E173</f>
        <v>1.6706323992533489</v>
      </c>
      <c r="E376" s="26">
        <f>SUM($I$135,$I$137)*SUM($K$219:$K$220)*'TX SEDS'!F173</f>
        <v>1.6669073880280476</v>
      </c>
      <c r="F376" s="26">
        <f>SUM($I$135,$I$137)*SUM($K$219:$K$220)*'TX SEDS'!G173</f>
        <v>1.6631823768027465</v>
      </c>
      <c r="G376" s="26">
        <f>SUM($I$135,$I$137)*SUM($K$219:$K$220)*'TX SEDS'!H173</f>
        <v>1.6594573655774452</v>
      </c>
      <c r="H376" s="26">
        <f>SUM($I$135,$I$137)*SUM($K$219:$K$220)*'TX SEDS'!I173</f>
        <v>1.6557323543521438</v>
      </c>
      <c r="I376" s="26">
        <f>SUM($I$135,$I$137)*SUM($K$219:$K$220)*'TX SEDS'!J173</f>
        <v>1.6520073431268427</v>
      </c>
      <c r="J376" s="26">
        <f>SUM($I$135,$I$137)*SUM($K$219:$K$220)*'TX SEDS'!K173</f>
        <v>1.6482823319015414</v>
      </c>
      <c r="K376" s="26">
        <f>SUM($I$135,$I$137)*SUM($K$219:$K$220)*'TX SEDS'!L173</f>
        <v>1.6445573206762403</v>
      </c>
      <c r="L376" s="26">
        <f>SUM($I$135,$I$137)*SUM($K$219:$K$220)*'TX SEDS'!M173</f>
        <v>1.6408323094509389</v>
      </c>
      <c r="M376" s="26">
        <f>SUM($I$135,$I$137)*SUM($K$219:$K$220)*'TX SEDS'!N173</f>
        <v>1.6371072982256376</v>
      </c>
      <c r="N376" s="26">
        <f>SUM($I$135,$I$137)*SUM($K$219:$K$220)*'TX SEDS'!O173</f>
        <v>1.6333822870003365</v>
      </c>
      <c r="O376" s="26">
        <f>SUM($I$135,$I$137)*SUM($K$219:$K$220)*'TX SEDS'!P173</f>
        <v>1.6296572757750352</v>
      </c>
      <c r="P376" s="26">
        <f>SUM($I$135,$I$137)*SUM($K$219:$K$220)*'TX SEDS'!Q173</f>
        <v>1.6259322645497338</v>
      </c>
      <c r="Q376" s="26">
        <f>SUM($I$135,$I$137)*SUM($K$219:$K$220)*'TX SEDS'!R173</f>
        <v>1.6222072533244327</v>
      </c>
      <c r="R376" s="26">
        <f>SUM($I$135,$I$137)*SUM($K$219:$K$220)*'TX SEDS'!S173</f>
        <v>1.6184822420991314</v>
      </c>
      <c r="S376" s="26">
        <f>SUM($I$135,$I$137)*SUM($K$219:$K$220)*'TX SEDS'!T173</f>
        <v>1.6147572308738301</v>
      </c>
      <c r="T376" s="26">
        <f>SUM($I$135,$I$137)*SUM($K$219:$K$220)*'TX SEDS'!U173</f>
        <v>1.6110322196485289</v>
      </c>
      <c r="U376" s="26">
        <f>SUM($I$135,$I$137)*SUM($K$219:$K$220)*'TX SEDS'!V173</f>
        <v>1.6073072084232276</v>
      </c>
      <c r="V376" s="26">
        <f>SUM($I$135,$I$137)*SUM($K$219:$K$220)*'TX SEDS'!W173</f>
        <v>1.6035821971979265</v>
      </c>
      <c r="W376" s="26">
        <f>SUM($I$135,$I$137)*SUM($K$219:$K$220)*'TX SEDS'!X173</f>
        <v>1.5998571859726252</v>
      </c>
      <c r="X376" s="26">
        <f>SUM($I$135,$I$137)*SUM($K$219:$K$220)*'TX SEDS'!Y173</f>
        <v>1.5961321747473238</v>
      </c>
      <c r="Y376" s="26">
        <f>SUM($I$135,$I$137)*SUM($K$219:$K$220)*'TX SEDS'!Z173</f>
        <v>1.5924071635220227</v>
      </c>
      <c r="Z376" s="26">
        <f>SUM($I$135,$I$137)*SUM($K$219:$K$220)*'TX SEDS'!AA173</f>
        <v>1.5886821522967214</v>
      </c>
      <c r="AA376" s="26">
        <f>SUM($I$135,$I$137)*SUM($K$219:$K$220)*'TX SEDS'!AB173</f>
        <v>1.5849571410714201</v>
      </c>
      <c r="AB376" s="26">
        <f>SUM($I$135,$I$137)*SUM($K$219:$K$220)*'TX SEDS'!AC173</f>
        <v>1.5812321298461189</v>
      </c>
      <c r="AC376" s="26">
        <f>SUM($I$135,$I$137)*SUM($K$219:$K$220)*'TX SEDS'!AD173</f>
        <v>1.5775071186208176</v>
      </c>
      <c r="AD376" s="26">
        <f>SUM($I$135,$I$137)*SUM($K$219:$K$220)*'TX SEDS'!AE173</f>
        <v>1.5737821073955163</v>
      </c>
      <c r="AE376" s="26">
        <f>SUM($I$135,$I$137)*SUM($K$219:$K$220)*'TX SEDS'!AF173</f>
        <v>1.5700570961702152</v>
      </c>
      <c r="AF376" s="26">
        <f>SUM($I$135,$I$137)*SUM($K$219:$K$220)*'TX SEDS'!AG173</f>
        <v>1.5663320849449138</v>
      </c>
      <c r="AG376" s="26">
        <f>SUM($I$135,$I$137)*SUM($K$219:$K$220)*'TX SEDS'!AH173</f>
        <v>1.5626070737196125</v>
      </c>
      <c r="AH376" s="26">
        <f>SUM($I$135,$I$137)*SUM($K$219:$K$220)*'TX SEDS'!AI173</f>
        <v>1.5588820624943114</v>
      </c>
      <c r="AI376" s="26">
        <f>SUM($I$135,$I$137)*SUM($K$219:$K$220)*'TX SEDS'!AJ173</f>
        <v>1.5551570512690109</v>
      </c>
      <c r="AJ376" s="26"/>
    </row>
    <row r="377" spans="1:36">
      <c r="A377" s="26" t="s">
        <v>1010</v>
      </c>
      <c r="B377" s="26">
        <f>$I$147*SUM($G$219:$G$220)*'TX SEDS'!C177</f>
        <v>509.16919155628244</v>
      </c>
      <c r="C377" s="26">
        <f>$I$147*SUM($G$219:$G$220)*'TX SEDS'!D177</f>
        <v>513.57814265270144</v>
      </c>
      <c r="D377" s="26">
        <f>$I$147*SUM($G$219:$G$220)*'TX SEDS'!E177</f>
        <v>517.9870937491205</v>
      </c>
      <c r="E377" s="26">
        <f>$I$147*SUM($G$219:$G$220)*'TX SEDS'!F177</f>
        <v>522.39604484553945</v>
      </c>
      <c r="F377" s="26">
        <f>$I$147*SUM($G$219:$G$220)*'TX SEDS'!G177</f>
        <v>526.80499594195851</v>
      </c>
      <c r="G377" s="26">
        <f>$I$147*SUM($G$219:$G$220)*'TX SEDS'!H177</f>
        <v>531.21394703837746</v>
      </c>
      <c r="H377" s="26">
        <f>$I$147*SUM($G$219:$G$220)*'TX SEDS'!I177</f>
        <v>535.62289813479651</v>
      </c>
      <c r="I377" s="26">
        <f>$I$147*SUM($G$219:$G$220)*'TX SEDS'!J177</f>
        <v>540.03184923121546</v>
      </c>
      <c r="J377" s="26">
        <f>$I$147*SUM($G$219:$G$220)*'TX SEDS'!K177</f>
        <v>544.44080032763452</v>
      </c>
      <c r="K377" s="26">
        <f>$I$147*SUM($G$219:$G$220)*'TX SEDS'!L177</f>
        <v>548.84975142405347</v>
      </c>
      <c r="L377" s="26">
        <f>$I$147*SUM($G$219:$G$220)*'TX SEDS'!M177</f>
        <v>553.25870252047264</v>
      </c>
      <c r="M377" s="26">
        <f>$I$147*SUM($G$219:$G$220)*'TX SEDS'!N177</f>
        <v>557.6676536168917</v>
      </c>
      <c r="N377" s="26">
        <f>$I$147*SUM($G$219:$G$220)*'TX SEDS'!O177</f>
        <v>562.07660471331076</v>
      </c>
      <c r="O377" s="26">
        <f>$I$147*SUM($G$219:$G$220)*'TX SEDS'!P177</f>
        <v>566.48555580972982</v>
      </c>
      <c r="P377" s="26">
        <f>$I$147*SUM($G$219:$G$220)*'TX SEDS'!Q177</f>
        <v>570.89450690614888</v>
      </c>
      <c r="Q377" s="26">
        <f>$I$147*SUM($G$219:$G$220)*'TX SEDS'!R177</f>
        <v>575.30345800256794</v>
      </c>
      <c r="R377" s="26">
        <f>$I$147*SUM($G$219:$G$220)*'TX SEDS'!S177</f>
        <v>579.712409098987</v>
      </c>
      <c r="S377" s="26">
        <f>$I$147*SUM($G$219:$G$220)*'TX SEDS'!T177</f>
        <v>584.12136019540606</v>
      </c>
      <c r="T377" s="26">
        <f>$I$147*SUM($G$219:$G$220)*'TX SEDS'!U177</f>
        <v>588.53031129182511</v>
      </c>
      <c r="U377" s="26">
        <f>$I$147*SUM($G$219:$G$220)*'TX SEDS'!V177</f>
        <v>592.93926238824417</v>
      </c>
      <c r="V377" s="26">
        <f>$I$147*SUM($G$219:$G$220)*'TX SEDS'!W177</f>
        <v>597.34821348466323</v>
      </c>
      <c r="W377" s="26">
        <f>$I$147*SUM($G$219:$G$220)*'TX SEDS'!X177</f>
        <v>601.75716458108229</v>
      </c>
      <c r="X377" s="26">
        <f>$I$147*SUM($G$219:$G$220)*'TX SEDS'!Y177</f>
        <v>606.16611567750135</v>
      </c>
      <c r="Y377" s="26">
        <f>$I$147*SUM($G$219:$G$220)*'TX SEDS'!Z177</f>
        <v>610.57506677392041</v>
      </c>
      <c r="Z377" s="26">
        <f>$I$147*SUM($G$219:$G$220)*'TX SEDS'!AA177</f>
        <v>614.98401787033958</v>
      </c>
      <c r="AA377" s="26">
        <f>$I$147*SUM($G$219:$G$220)*'TX SEDS'!AB177</f>
        <v>619.39296896675864</v>
      </c>
      <c r="AB377" s="26">
        <f>$I$147*SUM($G$219:$G$220)*'TX SEDS'!AC177</f>
        <v>623.8019200631777</v>
      </c>
      <c r="AC377" s="26">
        <f>$I$147*SUM($G$219:$G$220)*'TX SEDS'!AD177</f>
        <v>628.21087115959676</v>
      </c>
      <c r="AD377" s="26">
        <f>$I$147*SUM($G$219:$G$220)*'TX SEDS'!AE177</f>
        <v>632.61982225601582</v>
      </c>
      <c r="AE377" s="26">
        <f>$I$147*SUM($G$219:$G$220)*'TX SEDS'!AF177</f>
        <v>637.02877335243488</v>
      </c>
      <c r="AF377" s="26">
        <f>$I$147*SUM($G$219:$G$220)*'TX SEDS'!AG177</f>
        <v>641.43772444885394</v>
      </c>
      <c r="AG377" s="26">
        <f>$I$147*SUM($G$219:$G$220)*'TX SEDS'!AH177</f>
        <v>645.846675545273</v>
      </c>
      <c r="AH377" s="26">
        <f>$I$147*SUM($G$219:$G$220)*'TX SEDS'!AI177</f>
        <v>650.25562664169206</v>
      </c>
      <c r="AI377" s="26">
        <f>$I$147*SUM($G$219:$G$220)*'TX SEDS'!AJ177</f>
        <v>654.66457773811067</v>
      </c>
      <c r="AJ377" s="26"/>
    </row>
    <row r="378" spans="1:36">
      <c r="A378" s="26" t="s">
        <v>339</v>
      </c>
      <c r="B378" s="26">
        <f>SUM($L$219:$L$220)*$I$157*$BI$106*'TX SEDS'!C183</f>
        <v>0</v>
      </c>
      <c r="C378" s="26">
        <f>B378</f>
        <v>0</v>
      </c>
      <c r="D378" s="26">
        <f t="shared" ref="D378:F378" si="131">C378</f>
        <v>0</v>
      </c>
      <c r="E378" s="26">
        <f t="shared" si="131"/>
        <v>0</v>
      </c>
      <c r="F378" s="26">
        <f t="shared" si="131"/>
        <v>0</v>
      </c>
      <c r="G378" s="26">
        <f t="shared" ref="G378:AI378" si="132">F378</f>
        <v>0</v>
      </c>
      <c r="H378" s="26">
        <f t="shared" si="132"/>
        <v>0</v>
      </c>
      <c r="I378" s="26">
        <f t="shared" si="132"/>
        <v>0</v>
      </c>
      <c r="J378" s="26">
        <f t="shared" si="132"/>
        <v>0</v>
      </c>
      <c r="K378" s="26">
        <f t="shared" si="132"/>
        <v>0</v>
      </c>
      <c r="L378" s="26">
        <f t="shared" si="132"/>
        <v>0</v>
      </c>
      <c r="M378" s="26">
        <f t="shared" si="132"/>
        <v>0</v>
      </c>
      <c r="N378" s="26">
        <f t="shared" si="132"/>
        <v>0</v>
      </c>
      <c r="O378" s="26">
        <f t="shared" si="132"/>
        <v>0</v>
      </c>
      <c r="P378" s="26">
        <f t="shared" si="132"/>
        <v>0</v>
      </c>
      <c r="Q378" s="26">
        <f t="shared" si="132"/>
        <v>0</v>
      </c>
      <c r="R378" s="26">
        <f t="shared" si="132"/>
        <v>0</v>
      </c>
      <c r="S378" s="26">
        <f t="shared" si="132"/>
        <v>0</v>
      </c>
      <c r="T378" s="26">
        <f t="shared" si="132"/>
        <v>0</v>
      </c>
      <c r="U378" s="26">
        <f t="shared" si="132"/>
        <v>0</v>
      </c>
      <c r="V378" s="26">
        <f t="shared" si="132"/>
        <v>0</v>
      </c>
      <c r="W378" s="26">
        <f t="shared" si="132"/>
        <v>0</v>
      </c>
      <c r="X378" s="26">
        <f t="shared" si="132"/>
        <v>0</v>
      </c>
      <c r="Y378" s="26">
        <f t="shared" si="132"/>
        <v>0</v>
      </c>
      <c r="Z378" s="26">
        <f t="shared" si="132"/>
        <v>0</v>
      </c>
      <c r="AA378" s="26">
        <f t="shared" si="132"/>
        <v>0</v>
      </c>
      <c r="AB378" s="26">
        <f t="shared" si="132"/>
        <v>0</v>
      </c>
      <c r="AC378" s="26">
        <f t="shared" si="132"/>
        <v>0</v>
      </c>
      <c r="AD378" s="26">
        <f t="shared" si="132"/>
        <v>0</v>
      </c>
      <c r="AE378" s="26">
        <f t="shared" si="132"/>
        <v>0</v>
      </c>
      <c r="AF378" s="26">
        <f t="shared" si="132"/>
        <v>0</v>
      </c>
      <c r="AG378" s="26">
        <f t="shared" si="132"/>
        <v>0</v>
      </c>
      <c r="AH378" s="26">
        <f t="shared" si="132"/>
        <v>0</v>
      </c>
      <c r="AI378" s="26">
        <f t="shared" si="132"/>
        <v>0</v>
      </c>
      <c r="AJ378" s="26"/>
    </row>
    <row r="379" spans="1:36">
      <c r="A379" s="26" t="s">
        <v>1011</v>
      </c>
      <c r="B379" s="26">
        <f>$I$140*SUM($F$219:$F$220)*'TX SEDS'!C187</f>
        <v>0.69127357921752075</v>
      </c>
      <c r="C379" s="26">
        <f>$I$140*SUM($F$219:$F$220)*'TX SEDS'!D187</f>
        <v>0.69972875414731062</v>
      </c>
      <c r="D379" s="26">
        <f>$I$140*SUM($F$219:$F$220)*'TX SEDS'!E187</f>
        <v>0.70818392907710048</v>
      </c>
      <c r="E379" s="26">
        <f>$I$140*SUM($F$219:$F$220)*'TX SEDS'!F187</f>
        <v>0.71663910400689035</v>
      </c>
      <c r="F379" s="26">
        <f>$I$140*SUM($F$219:$F$220)*'TX SEDS'!G187</f>
        <v>0.72509427893668021</v>
      </c>
      <c r="G379" s="26">
        <f>$I$140*SUM($F$219:$F$220)*'TX SEDS'!H187</f>
        <v>0.73354945386647008</v>
      </c>
      <c r="H379" s="26">
        <f>$I$140*SUM($F$219:$F$220)*'TX SEDS'!I187</f>
        <v>0.74200462879625995</v>
      </c>
      <c r="I379" s="26">
        <f>$I$140*SUM($F$219:$F$220)*'TX SEDS'!J187</f>
        <v>0.75045980372604981</v>
      </c>
      <c r="J379" s="26">
        <f>$I$140*SUM($F$219:$F$220)*'TX SEDS'!K187</f>
        <v>0.75891497865583968</v>
      </c>
      <c r="K379" s="26">
        <f>$I$140*SUM($F$219:$F$220)*'TX SEDS'!L187</f>
        <v>0.76737015358562954</v>
      </c>
      <c r="L379" s="26">
        <f>$I$140*SUM($F$219:$F$220)*'TX SEDS'!M187</f>
        <v>0.77582532851541941</v>
      </c>
      <c r="M379" s="26">
        <f>$I$140*SUM($F$219:$F$220)*'TX SEDS'!N187</f>
        <v>0.78428050344520928</v>
      </c>
      <c r="N379" s="26">
        <f>$I$140*SUM($F$219:$F$220)*'TX SEDS'!O187</f>
        <v>0.79273567837499914</v>
      </c>
      <c r="O379" s="26">
        <f>$I$140*SUM($F$219:$F$220)*'TX SEDS'!P187</f>
        <v>0.80119085330478901</v>
      </c>
      <c r="P379" s="26">
        <f>$I$140*SUM($F$219:$F$220)*'TX SEDS'!Q187</f>
        <v>0.80964602823457887</v>
      </c>
      <c r="Q379" s="26">
        <f>$I$140*SUM($F$219:$F$220)*'TX SEDS'!R187</f>
        <v>0.81810120316436874</v>
      </c>
      <c r="R379" s="26">
        <f>$I$140*SUM($F$219:$F$220)*'TX SEDS'!S187</f>
        <v>0.82655637809415861</v>
      </c>
      <c r="S379" s="26">
        <f>$I$140*SUM($F$219:$F$220)*'TX SEDS'!T187</f>
        <v>0.83501155302394847</v>
      </c>
      <c r="T379" s="26">
        <f>$I$140*SUM($F$219:$F$220)*'TX SEDS'!U187</f>
        <v>0.84346672795373834</v>
      </c>
      <c r="U379" s="26">
        <f>$I$140*SUM($F$219:$F$220)*'TX SEDS'!V187</f>
        <v>0.8519219028835282</v>
      </c>
      <c r="V379" s="26">
        <f>$I$140*SUM($F$219:$F$220)*'TX SEDS'!W187</f>
        <v>0.86037707781331807</v>
      </c>
      <c r="W379" s="26">
        <f>$I$140*SUM($F$219:$F$220)*'TX SEDS'!X187</f>
        <v>0.86883225274310794</v>
      </c>
      <c r="X379" s="26">
        <f>$I$140*SUM($F$219:$F$220)*'TX SEDS'!Y187</f>
        <v>0.8772874276728978</v>
      </c>
      <c r="Y379" s="26">
        <f>$I$140*SUM($F$219:$F$220)*'TX SEDS'!Z187</f>
        <v>0.88574260260268767</v>
      </c>
      <c r="Z379" s="26">
        <f>$I$140*SUM($F$219:$F$220)*'TX SEDS'!AA187</f>
        <v>0.89419777753247753</v>
      </c>
      <c r="AA379" s="26">
        <f>$I$140*SUM($F$219:$F$220)*'TX SEDS'!AB187</f>
        <v>0.9026529524622674</v>
      </c>
      <c r="AB379" s="26">
        <f>$I$140*SUM($F$219:$F$220)*'TX SEDS'!AC187</f>
        <v>0.91110812739205727</v>
      </c>
      <c r="AC379" s="26">
        <f>$I$140*SUM($F$219:$F$220)*'TX SEDS'!AD187</f>
        <v>0.91956330232184713</v>
      </c>
      <c r="AD379" s="26">
        <f>$I$140*SUM($F$219:$F$220)*'TX SEDS'!AE187</f>
        <v>0.928018477251637</v>
      </c>
      <c r="AE379" s="26">
        <f>$I$140*SUM($F$219:$F$220)*'TX SEDS'!AF187</f>
        <v>0.93647365218142686</v>
      </c>
      <c r="AF379" s="26">
        <f>$I$140*SUM($F$219:$F$220)*'TX SEDS'!AG187</f>
        <v>0.94492882711121673</v>
      </c>
      <c r="AG379" s="26">
        <f>$I$140*SUM($F$219:$F$220)*'TX SEDS'!AH187</f>
        <v>0.9533840020410066</v>
      </c>
      <c r="AH379" s="26">
        <f>$I$140*SUM($F$219:$F$220)*'TX SEDS'!AI187</f>
        <v>0.96183917697079646</v>
      </c>
      <c r="AI379" s="26">
        <f>$I$140*SUM($F$219:$F$220)*'TX SEDS'!AJ187</f>
        <v>0.97029435190058677</v>
      </c>
      <c r="AJ379" s="26"/>
    </row>
    <row r="380" spans="1:36">
      <c r="A380" s="26" t="s">
        <v>1012</v>
      </c>
      <c r="B380" s="26">
        <v>0</v>
      </c>
      <c r="C380" s="26">
        <v>0</v>
      </c>
      <c r="D380" s="26">
        <v>0</v>
      </c>
      <c r="E380" s="26">
        <v>0</v>
      </c>
      <c r="F380" s="26">
        <v>0</v>
      </c>
      <c r="G380" s="26">
        <v>0</v>
      </c>
      <c r="H380" s="26">
        <v>0</v>
      </c>
      <c r="I380" s="26">
        <v>0</v>
      </c>
      <c r="J380" s="26">
        <v>0</v>
      </c>
      <c r="K380" s="26">
        <v>0</v>
      </c>
      <c r="L380" s="26">
        <v>0</v>
      </c>
      <c r="M380" s="26">
        <v>0</v>
      </c>
      <c r="N380" s="26">
        <v>0</v>
      </c>
      <c r="O380" s="26">
        <v>0</v>
      </c>
      <c r="P380" s="26">
        <v>0</v>
      </c>
      <c r="Q380" s="26">
        <v>0</v>
      </c>
      <c r="R380" s="26">
        <v>0</v>
      </c>
      <c r="S380" s="26">
        <v>0</v>
      </c>
      <c r="T380" s="26">
        <v>0</v>
      </c>
      <c r="U380" s="26">
        <v>0</v>
      </c>
      <c r="V380" s="26">
        <v>0</v>
      </c>
      <c r="W380" s="26">
        <v>0</v>
      </c>
      <c r="X380" s="26">
        <v>0</v>
      </c>
      <c r="Y380" s="26">
        <v>0</v>
      </c>
      <c r="Z380" s="26">
        <v>0</v>
      </c>
      <c r="AA380" s="26">
        <v>0</v>
      </c>
      <c r="AB380" s="26">
        <v>0</v>
      </c>
      <c r="AC380" s="26">
        <v>0</v>
      </c>
      <c r="AD380" s="26">
        <v>0</v>
      </c>
      <c r="AE380" s="26">
        <v>0</v>
      </c>
      <c r="AF380" s="26">
        <v>0</v>
      </c>
      <c r="AG380" s="26">
        <v>0</v>
      </c>
      <c r="AH380" s="26">
        <v>0</v>
      </c>
      <c r="AI380" s="26">
        <v>0</v>
      </c>
      <c r="AJ380" s="26"/>
    </row>
    <row r="381" spans="1:36">
      <c r="A381" s="26" t="s">
        <v>323</v>
      </c>
      <c r="B381" s="26">
        <v>0</v>
      </c>
      <c r="C381" s="26">
        <v>0</v>
      </c>
      <c r="D381" s="26">
        <v>0</v>
      </c>
      <c r="E381" s="26">
        <v>0</v>
      </c>
      <c r="F381" s="26">
        <v>0</v>
      </c>
      <c r="G381" s="26">
        <v>0</v>
      </c>
      <c r="H381" s="26">
        <v>0</v>
      </c>
      <c r="I381" s="26">
        <v>0</v>
      </c>
      <c r="J381" s="26">
        <v>0</v>
      </c>
      <c r="K381" s="26">
        <v>0</v>
      </c>
      <c r="L381" s="26">
        <v>0</v>
      </c>
      <c r="M381" s="26">
        <v>0</v>
      </c>
      <c r="N381" s="26">
        <v>0</v>
      </c>
      <c r="O381" s="26">
        <v>0</v>
      </c>
      <c r="P381" s="26">
        <v>0</v>
      </c>
      <c r="Q381" s="26">
        <v>0</v>
      </c>
      <c r="R381" s="26">
        <v>0</v>
      </c>
      <c r="S381" s="26">
        <v>0</v>
      </c>
      <c r="T381" s="26">
        <v>0</v>
      </c>
      <c r="U381" s="26">
        <v>0</v>
      </c>
      <c r="V381" s="26">
        <v>0</v>
      </c>
      <c r="W381" s="26">
        <v>0</v>
      </c>
      <c r="X381" s="26">
        <v>0</v>
      </c>
      <c r="Y381" s="26">
        <v>0</v>
      </c>
      <c r="Z381" s="26">
        <v>0</v>
      </c>
      <c r="AA381" s="26">
        <v>0</v>
      </c>
      <c r="AB381" s="26">
        <v>0</v>
      </c>
      <c r="AC381" s="26">
        <v>0</v>
      </c>
      <c r="AD381" s="26">
        <v>0</v>
      </c>
      <c r="AE381" s="26">
        <v>0</v>
      </c>
      <c r="AF381" s="26">
        <v>0</v>
      </c>
      <c r="AG381" s="26">
        <v>0</v>
      </c>
      <c r="AH381" s="26">
        <v>0</v>
      </c>
      <c r="AI381" s="26">
        <v>0</v>
      </c>
      <c r="AJ381" s="26"/>
    </row>
    <row r="382" spans="1:36">
      <c r="A382" s="26" t="s">
        <v>342</v>
      </c>
      <c r="B382" s="26">
        <f>$I$154*SUM($E$219:$E$220)*'TX SEDS'!C197</f>
        <v>6.268545129472975</v>
      </c>
      <c r="C382" s="26">
        <f>$I$154*SUM($E$219:$E$220)*'TX SEDS'!D197</f>
        <v>6.2399523303147726</v>
      </c>
      <c r="D382" s="26">
        <f>$I$154*SUM($E$219:$E$220)*'TX SEDS'!E197</f>
        <v>6.2113595311565701</v>
      </c>
      <c r="E382" s="26">
        <f>$I$154*SUM($E$219:$E$220)*'TX SEDS'!F197</f>
        <v>6.1827667319983668</v>
      </c>
      <c r="F382" s="26">
        <f>$I$154*SUM($E$219:$E$220)*'TX SEDS'!G197</f>
        <v>6.1541739328401643</v>
      </c>
      <c r="G382" s="26">
        <f>$I$154*SUM($E$219:$E$220)*'TX SEDS'!H197</f>
        <v>6.1255811336819619</v>
      </c>
      <c r="H382" s="26">
        <f>$I$154*SUM($E$219:$E$220)*'TX SEDS'!I197</f>
        <v>6.0969883345237594</v>
      </c>
      <c r="I382" s="26">
        <f>$I$154*SUM($E$219:$E$220)*'TX SEDS'!J197</f>
        <v>6.068395535365557</v>
      </c>
      <c r="J382" s="26">
        <f>$I$154*SUM($E$219:$E$220)*'TX SEDS'!K197</f>
        <v>6.0398027362073545</v>
      </c>
      <c r="K382" s="26">
        <f>$I$154*SUM($E$219:$E$220)*'TX SEDS'!L197</f>
        <v>6.0112099370491521</v>
      </c>
      <c r="L382" s="26">
        <f>$I$154*SUM($E$219:$E$220)*'TX SEDS'!M197</f>
        <v>5.9826171378909496</v>
      </c>
      <c r="M382" s="26">
        <f>$I$154*SUM($E$219:$E$220)*'TX SEDS'!N197</f>
        <v>5.9540243387327463</v>
      </c>
      <c r="N382" s="26">
        <f>$I$154*SUM($E$219:$E$220)*'TX SEDS'!O197</f>
        <v>5.9254315395745438</v>
      </c>
      <c r="O382" s="26">
        <f>$I$154*SUM($E$219:$E$220)*'TX SEDS'!P197</f>
        <v>5.8968387404163414</v>
      </c>
      <c r="P382" s="26">
        <f>$I$154*SUM($E$219:$E$220)*'TX SEDS'!Q197</f>
        <v>5.8682459412581389</v>
      </c>
      <c r="Q382" s="26">
        <f>$I$154*SUM($E$219:$E$220)*'TX SEDS'!R197</f>
        <v>5.8396531420999365</v>
      </c>
      <c r="R382" s="26">
        <f>$I$154*SUM($E$219:$E$220)*'TX SEDS'!S197</f>
        <v>5.811060342941734</v>
      </c>
      <c r="S382" s="26">
        <f>$I$154*SUM($E$219:$E$220)*'TX SEDS'!T197</f>
        <v>5.7824675437835316</v>
      </c>
      <c r="T382" s="26">
        <f>$I$154*SUM($E$219:$E$220)*'TX SEDS'!U197</f>
        <v>5.7538747446253291</v>
      </c>
      <c r="U382" s="26">
        <f>$I$154*SUM($E$219:$E$220)*'TX SEDS'!V197</f>
        <v>5.7252819454671258</v>
      </c>
      <c r="V382" s="26">
        <f>$I$154*SUM($E$219:$E$220)*'TX SEDS'!W197</f>
        <v>5.6966891463089233</v>
      </c>
      <c r="W382" s="26">
        <f>$I$154*SUM($E$219:$E$220)*'TX SEDS'!X197</f>
        <v>5.6680963471507209</v>
      </c>
      <c r="X382" s="26">
        <f>$I$154*SUM($E$219:$E$220)*'TX SEDS'!Y197</f>
        <v>5.6395035479925184</v>
      </c>
      <c r="Y382" s="26">
        <f>$I$154*SUM($E$219:$E$220)*'TX SEDS'!Z197</f>
        <v>5.610910748834316</v>
      </c>
      <c r="Z382" s="26">
        <f>$I$154*SUM($E$219:$E$220)*'TX SEDS'!AA197</f>
        <v>5.5823179496761135</v>
      </c>
      <c r="AA382" s="26">
        <f>$I$154*SUM($E$219:$E$220)*'TX SEDS'!AB197</f>
        <v>5.553725150517911</v>
      </c>
      <c r="AB382" s="26">
        <f>$I$154*SUM($E$219:$E$220)*'TX SEDS'!AC197</f>
        <v>5.5251323513597086</v>
      </c>
      <c r="AC382" s="26">
        <f>$I$154*SUM($E$219:$E$220)*'TX SEDS'!AD197</f>
        <v>5.4965395522015053</v>
      </c>
      <c r="AD382" s="26">
        <f>$I$154*SUM($E$219:$E$220)*'TX SEDS'!AE197</f>
        <v>5.4679467530433028</v>
      </c>
      <c r="AE382" s="26">
        <f>$I$154*SUM($E$219:$E$220)*'TX SEDS'!AF197</f>
        <v>5.4393539538851003</v>
      </c>
      <c r="AF382" s="26">
        <f>$I$154*SUM($E$219:$E$220)*'TX SEDS'!AG197</f>
        <v>5.4107611547268979</v>
      </c>
      <c r="AG382" s="26">
        <f>$I$154*SUM($E$219:$E$220)*'TX SEDS'!AH197</f>
        <v>5.3821683555686954</v>
      </c>
      <c r="AH382" s="26">
        <f>$I$154*SUM($E$219:$E$220)*'TX SEDS'!AI197</f>
        <v>5.353575556410493</v>
      </c>
      <c r="AI382" s="26">
        <f>$I$154*SUM($E$219:$E$220)*'TX SEDS'!AJ197</f>
        <v>5.3249827572522985</v>
      </c>
      <c r="AJ382" s="26"/>
    </row>
    <row r="383" spans="1:36">
      <c r="A383" s="26" t="s">
        <v>1013</v>
      </c>
      <c r="B383" s="26">
        <f>$I$144*SUM($H$219:$H$220)*'TX SEDS'!C201</f>
        <v>2272.7529621892431</v>
      </c>
      <c r="C383" s="26">
        <f>$I$144*SUM($H$219:$H$220)*'TX SEDS'!D201</f>
        <v>2317.7270825327887</v>
      </c>
      <c r="D383" s="26">
        <f>$I$144*SUM($H$219:$H$220)*'TX SEDS'!E201</f>
        <v>2362.7012028763343</v>
      </c>
      <c r="E383" s="26">
        <f>$I$144*SUM($H$219:$H$220)*'TX SEDS'!F201</f>
        <v>2407.6753232198794</v>
      </c>
      <c r="F383" s="26">
        <f>$I$144*SUM($H$219:$H$220)*'TX SEDS'!G201</f>
        <v>2452.6494435634249</v>
      </c>
      <c r="G383" s="26">
        <f>$I$144*SUM($H$219:$H$220)*'TX SEDS'!H201</f>
        <v>2497.6235639069705</v>
      </c>
      <c r="H383" s="26">
        <f>$I$144*SUM($H$219:$H$220)*'TX SEDS'!I201</f>
        <v>2542.5976842505156</v>
      </c>
      <c r="I383" s="26">
        <f>$I$144*SUM($H$219:$H$220)*'TX SEDS'!J201</f>
        <v>2587.5718045940612</v>
      </c>
      <c r="J383" s="26">
        <f>$I$144*SUM($H$219:$H$220)*'TX SEDS'!K201</f>
        <v>2632.5459249376063</v>
      </c>
      <c r="K383" s="26">
        <f>$I$144*SUM($H$219:$H$220)*'TX SEDS'!L201</f>
        <v>2677.5200452811519</v>
      </c>
      <c r="L383" s="26">
        <f>$I$144*SUM($H$219:$H$220)*'TX SEDS'!M201</f>
        <v>2722.4941656246974</v>
      </c>
      <c r="M383" s="26">
        <f>$I$144*SUM($H$219:$H$220)*'TX SEDS'!N201</f>
        <v>2767.4682859682425</v>
      </c>
      <c r="N383" s="26">
        <f>$I$144*SUM($H$219:$H$220)*'TX SEDS'!O201</f>
        <v>2812.4424063117881</v>
      </c>
      <c r="O383" s="26">
        <f>$I$144*SUM($H$219:$H$220)*'TX SEDS'!P201</f>
        <v>2857.4165266553332</v>
      </c>
      <c r="P383" s="26">
        <f>$I$144*SUM($H$219:$H$220)*'TX SEDS'!Q201</f>
        <v>2902.3906469988788</v>
      </c>
      <c r="Q383" s="26">
        <f>$I$144*SUM($H$219:$H$220)*'TX SEDS'!R201</f>
        <v>2947.3647673424243</v>
      </c>
      <c r="R383" s="26">
        <f>$I$144*SUM($H$219:$H$220)*'TX SEDS'!S201</f>
        <v>2992.3388876859694</v>
      </c>
      <c r="S383" s="26">
        <f>$I$144*SUM($H$219:$H$220)*'TX SEDS'!T201</f>
        <v>3037.313008029515</v>
      </c>
      <c r="T383" s="26">
        <f>$I$144*SUM($H$219:$H$220)*'TX SEDS'!U201</f>
        <v>3082.2871283730606</v>
      </c>
      <c r="U383" s="26">
        <f>$I$144*SUM($H$219:$H$220)*'TX SEDS'!V201</f>
        <v>3127.2612487166057</v>
      </c>
      <c r="V383" s="26">
        <f>$I$144*SUM($H$219:$H$220)*'TX SEDS'!W201</f>
        <v>3172.2353690601512</v>
      </c>
      <c r="W383" s="26">
        <f>$I$144*SUM($H$219:$H$220)*'TX SEDS'!X201</f>
        <v>3217.2094894036964</v>
      </c>
      <c r="X383" s="26">
        <f>$I$144*SUM($H$219:$H$220)*'TX SEDS'!Y201</f>
        <v>3262.1836097472419</v>
      </c>
      <c r="Y383" s="26">
        <f>$I$144*SUM($H$219:$H$220)*'TX SEDS'!Z201</f>
        <v>3307.1577300907875</v>
      </c>
      <c r="Z383" s="26">
        <f>$I$144*SUM($H$219:$H$220)*'TX SEDS'!AA201</f>
        <v>3352.1318504343326</v>
      </c>
      <c r="AA383" s="26">
        <f>$I$144*SUM($H$219:$H$220)*'TX SEDS'!AB201</f>
        <v>3397.1059707778782</v>
      </c>
      <c r="AB383" s="26">
        <f>$I$144*SUM($H$219:$H$220)*'TX SEDS'!AC201</f>
        <v>3442.0800911214237</v>
      </c>
      <c r="AC383" s="26">
        <f>$I$144*SUM($H$219:$H$220)*'TX SEDS'!AD201</f>
        <v>3487.0542114649688</v>
      </c>
      <c r="AD383" s="26">
        <f>$I$144*SUM($H$219:$H$220)*'TX SEDS'!AE201</f>
        <v>3532.0283318085144</v>
      </c>
      <c r="AE383" s="26">
        <f>$I$144*SUM($H$219:$H$220)*'TX SEDS'!AF201</f>
        <v>3577.0024521520595</v>
      </c>
      <c r="AF383" s="26">
        <f>$I$144*SUM($H$219:$H$220)*'TX SEDS'!AG201</f>
        <v>3621.9765724956051</v>
      </c>
      <c r="AG383" s="26">
        <f>$I$144*SUM($H$219:$H$220)*'TX SEDS'!AH201</f>
        <v>3666.9506928391506</v>
      </c>
      <c r="AH383" s="26">
        <f>$I$144*SUM($H$219:$H$220)*'TX SEDS'!AI201</f>
        <v>3711.9248131826953</v>
      </c>
      <c r="AI383" s="26">
        <f>$I$144*SUM($H$219:$H$220)*'TX SEDS'!AJ201</f>
        <v>3756.8989335262349</v>
      </c>
      <c r="AJ383" s="26"/>
    </row>
    <row r="384" spans="1:36">
      <c r="A384" s="26" t="s">
        <v>1014</v>
      </c>
      <c r="B384" s="26">
        <v>0</v>
      </c>
      <c r="C384" s="26">
        <f>B384</f>
        <v>0</v>
      </c>
      <c r="D384" s="26">
        <f t="shared" ref="D384:F384" si="133">C384</f>
        <v>0</v>
      </c>
      <c r="E384" s="26">
        <f t="shared" si="133"/>
        <v>0</v>
      </c>
      <c r="F384" s="26">
        <f t="shared" si="133"/>
        <v>0</v>
      </c>
      <c r="G384" s="26">
        <f t="shared" ref="G384:AI384" si="134">F384</f>
        <v>0</v>
      </c>
      <c r="H384" s="26">
        <f t="shared" si="134"/>
        <v>0</v>
      </c>
      <c r="I384" s="26">
        <f t="shared" si="134"/>
        <v>0</v>
      </c>
      <c r="J384" s="26">
        <f t="shared" si="134"/>
        <v>0</v>
      </c>
      <c r="K384" s="26">
        <f t="shared" si="134"/>
        <v>0</v>
      </c>
      <c r="L384" s="26">
        <f t="shared" si="134"/>
        <v>0</v>
      </c>
      <c r="M384" s="26">
        <f t="shared" si="134"/>
        <v>0</v>
      </c>
      <c r="N384" s="26">
        <f t="shared" si="134"/>
        <v>0</v>
      </c>
      <c r="O384" s="26">
        <f t="shared" si="134"/>
        <v>0</v>
      </c>
      <c r="P384" s="26">
        <f t="shared" si="134"/>
        <v>0</v>
      </c>
      <c r="Q384" s="26">
        <f t="shared" si="134"/>
        <v>0</v>
      </c>
      <c r="R384" s="26">
        <f t="shared" si="134"/>
        <v>0</v>
      </c>
      <c r="S384" s="26">
        <f t="shared" si="134"/>
        <v>0</v>
      </c>
      <c r="T384" s="26">
        <f t="shared" si="134"/>
        <v>0</v>
      </c>
      <c r="U384" s="26">
        <f t="shared" si="134"/>
        <v>0</v>
      </c>
      <c r="V384" s="26">
        <f t="shared" si="134"/>
        <v>0</v>
      </c>
      <c r="W384" s="26">
        <f t="shared" si="134"/>
        <v>0</v>
      </c>
      <c r="X384" s="26">
        <f t="shared" si="134"/>
        <v>0</v>
      </c>
      <c r="Y384" s="26">
        <f t="shared" si="134"/>
        <v>0</v>
      </c>
      <c r="Z384" s="26">
        <f t="shared" si="134"/>
        <v>0</v>
      </c>
      <c r="AA384" s="26">
        <f t="shared" si="134"/>
        <v>0</v>
      </c>
      <c r="AB384" s="26">
        <f t="shared" si="134"/>
        <v>0</v>
      </c>
      <c r="AC384" s="26">
        <f t="shared" si="134"/>
        <v>0</v>
      </c>
      <c r="AD384" s="26">
        <f t="shared" si="134"/>
        <v>0</v>
      </c>
      <c r="AE384" s="26">
        <f t="shared" si="134"/>
        <v>0</v>
      </c>
      <c r="AF384" s="26">
        <f t="shared" si="134"/>
        <v>0</v>
      </c>
      <c r="AG384" s="26">
        <f t="shared" si="134"/>
        <v>0</v>
      </c>
      <c r="AH384" s="26">
        <f t="shared" si="134"/>
        <v>0</v>
      </c>
      <c r="AI384" s="26">
        <f t="shared" si="134"/>
        <v>0</v>
      </c>
      <c r="AJ384" s="26"/>
    </row>
    <row r="385" spans="1:36">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spans="1:36">
      <c r="A386" s="41" t="s">
        <v>1245</v>
      </c>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spans="1:36">
      <c r="A387" s="26"/>
      <c r="B387" s="26"/>
      <c r="C387" s="26"/>
      <c r="D387" s="26"/>
      <c r="E387" s="471"/>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row>
    <row r="388" spans="1:36">
      <c r="A388" s="26" t="s">
        <v>813</v>
      </c>
      <c r="B388" s="26">
        <f>$G$258*$I$152*'TX SEDS'!C168</f>
        <v>1.3112957163601853</v>
      </c>
      <c r="C388" s="26">
        <f>$G$258*$I$152*'TX SEDS'!D168</f>
        <v>1.3245447990555497</v>
      </c>
      <c r="D388" s="26">
        <f>$G$258*$I$152*'TX SEDS'!E168</f>
        <v>1.3377938817509141</v>
      </c>
      <c r="E388" s="26">
        <f>D388*Q277/P277</f>
        <v>1.2791695192555446</v>
      </c>
      <c r="F388" s="26">
        <f t="shared" ref="F388:AI388" si="135">E388*R277/Q277</f>
        <v>1.1772752818436925</v>
      </c>
      <c r="G388" s="26">
        <f t="shared" si="135"/>
        <v>1.1048537374491445</v>
      </c>
      <c r="H388" s="26">
        <f t="shared" si="135"/>
        <v>1.0395152017820461</v>
      </c>
      <c r="I388" s="26">
        <f t="shared" si="135"/>
        <v>0.9644639964809717</v>
      </c>
      <c r="J388" s="26">
        <f t="shared" si="135"/>
        <v>0.88114131232845927</v>
      </c>
      <c r="K388" s="26">
        <f t="shared" si="135"/>
        <v>0.7939321942647426</v>
      </c>
      <c r="L388" s="26">
        <f t="shared" si="135"/>
        <v>0.70638497694161551</v>
      </c>
      <c r="M388" s="26">
        <f t="shared" si="135"/>
        <v>0.61877287188183372</v>
      </c>
      <c r="N388" s="26">
        <f t="shared" si="135"/>
        <v>0.53075436468195236</v>
      </c>
      <c r="O388" s="26">
        <f t="shared" si="135"/>
        <v>0.44274268777013992</v>
      </c>
      <c r="P388" s="26">
        <f t="shared" si="135"/>
        <v>0.35463880196939729</v>
      </c>
      <c r="Q388" s="26">
        <f t="shared" si="135"/>
        <v>0.26653901434149607</v>
      </c>
      <c r="R388" s="26">
        <f t="shared" si="135"/>
        <v>0.1783760465489575</v>
      </c>
      <c r="S388" s="26">
        <f t="shared" si="135"/>
        <v>9.0187806690564004E-2</v>
      </c>
      <c r="T388" s="26">
        <f t="shared" si="135"/>
        <v>1.9805410647545873E-3</v>
      </c>
      <c r="U388" s="26">
        <f t="shared" si="135"/>
        <v>1.7997843212992147E-3</v>
      </c>
      <c r="V388" s="26">
        <f t="shared" si="135"/>
        <v>1.7998218878835937E-3</v>
      </c>
      <c r="W388" s="26">
        <f t="shared" si="135"/>
        <v>1.7999892299412818E-3</v>
      </c>
      <c r="X388" s="26">
        <f t="shared" si="135"/>
        <v>1.8001599871430042E-3</v>
      </c>
      <c r="Y388" s="26">
        <f t="shared" si="135"/>
        <v>1.8003273292006921E-3</v>
      </c>
      <c r="Z388" s="26">
        <f t="shared" si="135"/>
        <v>1.8004946712583802E-3</v>
      </c>
      <c r="AA388" s="26">
        <f t="shared" si="135"/>
        <v>1.8006654284601026E-3</v>
      </c>
      <c r="AB388" s="26">
        <f t="shared" si="135"/>
        <v>1.8008327705177909E-3</v>
      </c>
      <c r="AC388" s="26">
        <f t="shared" si="135"/>
        <v>1.8010035277195133E-3</v>
      </c>
      <c r="AD388" s="26">
        <f t="shared" si="135"/>
        <v>1.8011708697772014E-3</v>
      </c>
      <c r="AE388" s="26">
        <f t="shared" si="135"/>
        <v>1.8013382118348895E-3</v>
      </c>
      <c r="AF388" s="26">
        <f t="shared" si="135"/>
        <v>1.8015055538925775E-3</v>
      </c>
      <c r="AG388" s="26">
        <f t="shared" si="135"/>
        <v>1.8016763110943002E-3</v>
      </c>
      <c r="AH388" s="26">
        <f t="shared" si="135"/>
        <v>1.8018436531519882E-3</v>
      </c>
      <c r="AI388" s="26">
        <f t="shared" si="135"/>
        <v>1.8020109952096761E-3</v>
      </c>
      <c r="AJ388" s="26"/>
    </row>
    <row r="389" spans="1:36">
      <c r="A389" s="26" t="s">
        <v>796</v>
      </c>
      <c r="B389" s="26">
        <f>$C$258*$I$136*'TX SEDS'!C173</f>
        <v>8.5630107676708769E-2</v>
      </c>
      <c r="C389" s="26">
        <f>$C$258*$I$136*'TX SEDS'!D173</f>
        <v>8.5440025766431907E-2</v>
      </c>
      <c r="D389" s="26">
        <f>$C$258*$I$136*'TX SEDS'!E173</f>
        <v>8.5249943856155058E-2</v>
      </c>
      <c r="E389" s="26">
        <f>D389*Q277/P277</f>
        <v>8.1514148918304039E-2</v>
      </c>
      <c r="F389" s="26">
        <f t="shared" ref="F389:AI389" si="136">E389*R277/Q277</f>
        <v>7.5021012615978294E-2</v>
      </c>
      <c r="G389" s="26">
        <f t="shared" si="136"/>
        <v>7.0406002278563112E-2</v>
      </c>
      <c r="H389" s="26">
        <f t="shared" si="136"/>
        <v>6.6242351529934088E-2</v>
      </c>
      <c r="I389" s="26">
        <f t="shared" si="136"/>
        <v>6.1459767960423753E-2</v>
      </c>
      <c r="J389" s="26">
        <f t="shared" si="136"/>
        <v>5.6150090406323239E-2</v>
      </c>
      <c r="K389" s="26">
        <f t="shared" si="136"/>
        <v>5.0592752672840538E-2</v>
      </c>
      <c r="L389" s="26">
        <f t="shared" si="136"/>
        <v>4.5013869809517042E-2</v>
      </c>
      <c r="M389" s="26">
        <f t="shared" si="136"/>
        <v>3.9430852022284704E-2</v>
      </c>
      <c r="N389" s="26">
        <f t="shared" si="136"/>
        <v>3.3821936553728567E-2</v>
      </c>
      <c r="O389" s="26">
        <f t="shared" si="136"/>
        <v>2.8213456340320728E-2</v>
      </c>
      <c r="P389" s="26">
        <f t="shared" si="136"/>
        <v>2.2599100182410851E-2</v>
      </c>
      <c r="Q389" s="26">
        <f t="shared" si="136"/>
        <v>1.6985005177589958E-2</v>
      </c>
      <c r="R389" s="26">
        <f t="shared" si="136"/>
        <v>1.1366884062647296E-2</v>
      </c>
      <c r="S389" s="26">
        <f t="shared" si="136"/>
        <v>5.7471525036559262E-3</v>
      </c>
      <c r="T389" s="26">
        <f t="shared" si="136"/>
        <v>1.2620854144896956E-4</v>
      </c>
      <c r="U389" s="26">
        <f t="shared" si="136"/>
        <v>1.146899492043826E-4</v>
      </c>
      <c r="V389" s="26">
        <f t="shared" si="136"/>
        <v>1.1469234310769824E-4</v>
      </c>
      <c r="W389" s="26">
        <f t="shared" si="136"/>
        <v>1.1470300685883157E-4</v>
      </c>
      <c r="X389" s="26">
        <f t="shared" si="136"/>
        <v>1.1471388823753903E-4</v>
      </c>
      <c r="Y389" s="26">
        <f t="shared" si="136"/>
        <v>1.1472455198867236E-4</v>
      </c>
      <c r="Z389" s="26">
        <f t="shared" si="136"/>
        <v>1.1473521573980569E-4</v>
      </c>
      <c r="AA389" s="26">
        <f t="shared" si="136"/>
        <v>1.1474609711851317E-4</v>
      </c>
      <c r="AB389" s="26">
        <f t="shared" si="136"/>
        <v>1.1475676086964649E-4</v>
      </c>
      <c r="AC389" s="26">
        <f t="shared" si="136"/>
        <v>1.1476764224835395E-4</v>
      </c>
      <c r="AD389" s="26">
        <f t="shared" si="136"/>
        <v>1.1477830599948728E-4</v>
      </c>
      <c r="AE389" s="26">
        <f t="shared" si="136"/>
        <v>1.1478896975062062E-4</v>
      </c>
      <c r="AF389" s="26">
        <f t="shared" si="136"/>
        <v>1.1479963350175395E-4</v>
      </c>
      <c r="AG389" s="26">
        <f t="shared" si="136"/>
        <v>1.1481051488046142E-4</v>
      </c>
      <c r="AH389" s="26">
        <f t="shared" si="136"/>
        <v>1.1482117863159475E-4</v>
      </c>
      <c r="AI389" s="26">
        <f t="shared" si="136"/>
        <v>1.1483184238272807E-4</v>
      </c>
      <c r="AJ389" s="26"/>
    </row>
    <row r="390" spans="1:36">
      <c r="A390" s="26" t="s">
        <v>1010</v>
      </c>
      <c r="B390" s="26">
        <f>$F$258*$I$148*'TX SEDS'!C177</f>
        <v>6.8949329872698639E-2</v>
      </c>
      <c r="C390" s="26">
        <f>$F$258*$I$148*'TX SEDS'!D177</f>
        <v>6.9546369576947889E-2</v>
      </c>
      <c r="D390" s="26">
        <f>$F$258*$I$148*'TX SEDS'!E177</f>
        <v>7.0143409281197139E-2</v>
      </c>
      <c r="E390" s="26">
        <f>D390*Q277/P277</f>
        <v>6.7069607921767985E-2</v>
      </c>
      <c r="F390" s="26">
        <f t="shared" ref="F390:AI390" si="137">E390*R277/Q277</f>
        <v>6.1727073996571159E-2</v>
      </c>
      <c r="G390" s="26">
        <f t="shared" si="137"/>
        <v>5.792985672824686E-2</v>
      </c>
      <c r="H390" s="26">
        <f t="shared" si="137"/>
        <v>5.4504016834934568E-2</v>
      </c>
      <c r="I390" s="26">
        <f t="shared" si="137"/>
        <v>5.0568920791895115E-2</v>
      </c>
      <c r="J390" s="26">
        <f t="shared" si="137"/>
        <v>4.6200133330206151E-2</v>
      </c>
      <c r="K390" s="26">
        <f t="shared" si="137"/>
        <v>4.1627571783288804E-2</v>
      </c>
      <c r="L390" s="26">
        <f t="shared" si="137"/>
        <v>3.7037282965336656E-2</v>
      </c>
      <c r="M390" s="26">
        <f t="shared" si="137"/>
        <v>3.2443591943852573E-2</v>
      </c>
      <c r="N390" s="26">
        <f t="shared" si="137"/>
        <v>2.7828592384457965E-2</v>
      </c>
      <c r="O390" s="26">
        <f t="shared" si="137"/>
        <v>2.3213950951750929E-2</v>
      </c>
      <c r="P390" s="26">
        <f t="shared" si="137"/>
        <v>1.8594474808761672E-2</v>
      </c>
      <c r="Q390" s="26">
        <f t="shared" si="137"/>
        <v>1.3975213541784957E-2</v>
      </c>
      <c r="R390" s="26">
        <f t="shared" si="137"/>
        <v>9.3526396029482029E-3</v>
      </c>
      <c r="S390" s="26">
        <f t="shared" si="137"/>
        <v>4.7287405953674311E-3</v>
      </c>
      <c r="T390" s="26">
        <f t="shared" si="137"/>
        <v>1.0384402589842696E-4</v>
      </c>
      <c r="U390" s="26">
        <f t="shared" si="137"/>
        <v>9.4366561238525595E-5</v>
      </c>
      <c r="V390" s="26">
        <f t="shared" si="137"/>
        <v>9.436853093530725E-5</v>
      </c>
      <c r="W390" s="26">
        <f t="shared" si="137"/>
        <v>9.4377305039152772E-5</v>
      </c>
      <c r="X390" s="26">
        <f t="shared" si="137"/>
        <v>9.4386258206342064E-5</v>
      </c>
      <c r="Y390" s="26">
        <f t="shared" si="137"/>
        <v>9.4395032310187573E-5</v>
      </c>
      <c r="Z390" s="26">
        <f t="shared" si="137"/>
        <v>9.4403806414033081E-5</v>
      </c>
      <c r="AA390" s="26">
        <f t="shared" si="137"/>
        <v>9.4412759581222373E-5</v>
      </c>
      <c r="AB390" s="26">
        <f t="shared" si="137"/>
        <v>9.4421533685067882E-5</v>
      </c>
      <c r="AC390" s="26">
        <f t="shared" si="137"/>
        <v>9.4430486852257174E-5</v>
      </c>
      <c r="AD390" s="26">
        <f t="shared" si="137"/>
        <v>9.4439260956102682E-5</v>
      </c>
      <c r="AE390" s="26">
        <f t="shared" si="137"/>
        <v>9.4448035059948191E-5</v>
      </c>
      <c r="AF390" s="26">
        <f t="shared" si="137"/>
        <v>9.44568091637937E-5</v>
      </c>
      <c r="AG390" s="26">
        <f t="shared" si="137"/>
        <v>9.4465762330982992E-5</v>
      </c>
      <c r="AH390" s="26">
        <f t="shared" si="137"/>
        <v>9.4474536434828514E-5</v>
      </c>
      <c r="AI390" s="26">
        <f t="shared" si="137"/>
        <v>9.4483310538674023E-5</v>
      </c>
      <c r="AJ390" s="26"/>
    </row>
    <row r="391" spans="1:36">
      <c r="A391" s="26" t="s">
        <v>339</v>
      </c>
      <c r="B391" s="26">
        <v>0</v>
      </c>
      <c r="C391" s="26">
        <f>B391</f>
        <v>0</v>
      </c>
      <c r="D391" s="26">
        <f t="shared" ref="D391" si="138">C391</f>
        <v>0</v>
      </c>
      <c r="E391" s="26">
        <f>D391</f>
        <v>0</v>
      </c>
      <c r="F391" s="26">
        <f t="shared" ref="F391:AI391" si="139">E391</f>
        <v>0</v>
      </c>
      <c r="G391" s="26">
        <f t="shared" si="139"/>
        <v>0</v>
      </c>
      <c r="H391" s="26">
        <f t="shared" si="139"/>
        <v>0</v>
      </c>
      <c r="I391" s="26">
        <f t="shared" si="139"/>
        <v>0</v>
      </c>
      <c r="J391" s="26">
        <f t="shared" si="139"/>
        <v>0</v>
      </c>
      <c r="K391" s="26">
        <f t="shared" si="139"/>
        <v>0</v>
      </c>
      <c r="L391" s="26">
        <f t="shared" si="139"/>
        <v>0</v>
      </c>
      <c r="M391" s="26">
        <f t="shared" si="139"/>
        <v>0</v>
      </c>
      <c r="N391" s="26">
        <f t="shared" si="139"/>
        <v>0</v>
      </c>
      <c r="O391" s="26">
        <f t="shared" si="139"/>
        <v>0</v>
      </c>
      <c r="P391" s="26">
        <f t="shared" si="139"/>
        <v>0</v>
      </c>
      <c r="Q391" s="26">
        <f t="shared" si="139"/>
        <v>0</v>
      </c>
      <c r="R391" s="26">
        <f t="shared" si="139"/>
        <v>0</v>
      </c>
      <c r="S391" s="26">
        <f t="shared" si="139"/>
        <v>0</v>
      </c>
      <c r="T391" s="26">
        <f t="shared" si="139"/>
        <v>0</v>
      </c>
      <c r="U391" s="26">
        <f t="shared" si="139"/>
        <v>0</v>
      </c>
      <c r="V391" s="26">
        <f t="shared" si="139"/>
        <v>0</v>
      </c>
      <c r="W391" s="26">
        <f t="shared" si="139"/>
        <v>0</v>
      </c>
      <c r="X391" s="26">
        <f t="shared" si="139"/>
        <v>0</v>
      </c>
      <c r="Y391" s="26">
        <f t="shared" si="139"/>
        <v>0</v>
      </c>
      <c r="Z391" s="26">
        <f t="shared" si="139"/>
        <v>0</v>
      </c>
      <c r="AA391" s="26">
        <f t="shared" si="139"/>
        <v>0</v>
      </c>
      <c r="AB391" s="26">
        <f t="shared" si="139"/>
        <v>0</v>
      </c>
      <c r="AC391" s="26">
        <f t="shared" si="139"/>
        <v>0</v>
      </c>
      <c r="AD391" s="26">
        <f t="shared" si="139"/>
        <v>0</v>
      </c>
      <c r="AE391" s="26">
        <f t="shared" si="139"/>
        <v>0</v>
      </c>
      <c r="AF391" s="26">
        <f t="shared" si="139"/>
        <v>0</v>
      </c>
      <c r="AG391" s="26">
        <f t="shared" si="139"/>
        <v>0</v>
      </c>
      <c r="AH391" s="26">
        <f t="shared" si="139"/>
        <v>0</v>
      </c>
      <c r="AI391" s="26">
        <f t="shared" si="139"/>
        <v>0</v>
      </c>
      <c r="AJ391" s="26"/>
    </row>
    <row r="392" spans="1:36">
      <c r="A392" s="26" t="s">
        <v>1011</v>
      </c>
      <c r="B392" s="26">
        <f>$D$258*$I$141*'TX SEDS'!C187</f>
        <v>11.613387686103456</v>
      </c>
      <c r="C392" s="26">
        <f>$D$258*$I$141*'TX SEDS'!D187</f>
        <v>11.75543452163364</v>
      </c>
      <c r="D392" s="26">
        <f>$D$258*$I$141*'TX SEDS'!E187</f>
        <v>11.897481357163823</v>
      </c>
      <c r="E392" s="26">
        <f>D392*Q277/P277</f>
        <v>11.376113851019003</v>
      </c>
      <c r="F392" s="26">
        <f t="shared" ref="F392:AI392" si="140">E392*R277/Q277</f>
        <v>10.469931810162837</v>
      </c>
      <c r="G392" s="26">
        <f t="shared" si="140"/>
        <v>9.8258610111818818</v>
      </c>
      <c r="H392" s="26">
        <f t="shared" si="140"/>
        <v>9.2447819521370995</v>
      </c>
      <c r="I392" s="26">
        <f t="shared" si="140"/>
        <v>8.5773246344720278</v>
      </c>
      <c r="J392" s="26">
        <f t="shared" si="140"/>
        <v>7.8363060853096513</v>
      </c>
      <c r="K392" s="26">
        <f t="shared" si="140"/>
        <v>7.0607240838582834</v>
      </c>
      <c r="L392" s="26">
        <f t="shared" si="140"/>
        <v>6.2821352442903873</v>
      </c>
      <c r="M392" s="26">
        <f t="shared" si="140"/>
        <v>5.5029693347809348</v>
      </c>
      <c r="N392" s="26">
        <f t="shared" si="140"/>
        <v>4.7201891451112097</v>
      </c>
      <c r="O392" s="26">
        <f t="shared" si="140"/>
        <v>3.9374696996458596</v>
      </c>
      <c r="P392" s="26">
        <f t="shared" si="140"/>
        <v>3.1539302074214559</v>
      </c>
      <c r="Q392" s="26">
        <f t="shared" si="140"/>
        <v>2.3704271617196775</v>
      </c>
      <c r="R392" s="26">
        <f t="shared" si="140"/>
        <v>1.586362232127436</v>
      </c>
      <c r="S392" s="26">
        <f t="shared" si="140"/>
        <v>0.8020725489790097</v>
      </c>
      <c r="T392" s="26">
        <f t="shared" si="140"/>
        <v>1.761366284929863E-2</v>
      </c>
      <c r="U392" s="26">
        <f t="shared" si="140"/>
        <v>1.6006128224736522E-2</v>
      </c>
      <c r="V392" s="26">
        <f t="shared" si="140"/>
        <v>1.6006462317860581E-2</v>
      </c>
      <c r="W392" s="26">
        <f t="shared" si="140"/>
        <v>1.6007950550867751E-2</v>
      </c>
      <c r="X392" s="26">
        <f t="shared" si="140"/>
        <v>1.6009469155977108E-2</v>
      </c>
      <c r="Y392" s="26">
        <f t="shared" si="140"/>
        <v>1.6010957388984278E-2</v>
      </c>
      <c r="Z392" s="26">
        <f t="shared" si="140"/>
        <v>1.6012445621991452E-2</v>
      </c>
      <c r="AA392" s="26">
        <f t="shared" si="140"/>
        <v>1.6013964227100809E-2</v>
      </c>
      <c r="AB392" s="26">
        <f t="shared" si="140"/>
        <v>1.6015452460107979E-2</v>
      </c>
      <c r="AC392" s="26">
        <f t="shared" si="140"/>
        <v>1.6016971065217336E-2</v>
      </c>
      <c r="AD392" s="26">
        <f t="shared" si="140"/>
        <v>1.6018459298224506E-2</v>
      </c>
      <c r="AE392" s="26">
        <f t="shared" si="140"/>
        <v>1.6019947531231676E-2</v>
      </c>
      <c r="AF392" s="26">
        <f t="shared" si="140"/>
        <v>1.6021435764238846E-2</v>
      </c>
      <c r="AG392" s="26">
        <f t="shared" si="140"/>
        <v>1.6022954369348204E-2</v>
      </c>
      <c r="AH392" s="26">
        <f t="shared" si="140"/>
        <v>1.6024442602355374E-2</v>
      </c>
      <c r="AI392" s="26">
        <f t="shared" si="140"/>
        <v>1.6025930835362547E-2</v>
      </c>
      <c r="AJ392" s="26"/>
    </row>
    <row r="393" spans="1:36">
      <c r="A393" s="26" t="s">
        <v>1012</v>
      </c>
      <c r="B393" s="26">
        <v>0</v>
      </c>
      <c r="C393" s="26">
        <v>0</v>
      </c>
      <c r="D393" s="26">
        <v>0</v>
      </c>
      <c r="E393" s="26">
        <v>0</v>
      </c>
      <c r="F393" s="26">
        <v>0</v>
      </c>
      <c r="G393" s="26">
        <v>0</v>
      </c>
      <c r="H393" s="26">
        <v>0</v>
      </c>
      <c r="I393" s="26">
        <v>0</v>
      </c>
      <c r="J393" s="26">
        <v>0</v>
      </c>
      <c r="K393" s="26">
        <v>0</v>
      </c>
      <c r="L393" s="26">
        <v>0</v>
      </c>
      <c r="M393" s="26">
        <v>0</v>
      </c>
      <c r="N393" s="26">
        <v>0</v>
      </c>
      <c r="O393" s="26">
        <v>0</v>
      </c>
      <c r="P393" s="26">
        <v>0</v>
      </c>
      <c r="Q393" s="26">
        <v>0</v>
      </c>
      <c r="R393" s="26">
        <v>0</v>
      </c>
      <c r="S393" s="26">
        <v>0</v>
      </c>
      <c r="T393" s="26">
        <v>0</v>
      </c>
      <c r="U393" s="26">
        <v>0</v>
      </c>
      <c r="V393" s="26">
        <v>0</v>
      </c>
      <c r="W393" s="26">
        <v>0</v>
      </c>
      <c r="X393" s="26">
        <v>0</v>
      </c>
      <c r="Y393" s="26">
        <v>0</v>
      </c>
      <c r="Z393" s="26">
        <v>0</v>
      </c>
      <c r="AA393" s="26">
        <v>0</v>
      </c>
      <c r="AB393" s="26">
        <v>0</v>
      </c>
      <c r="AC393" s="26">
        <v>0</v>
      </c>
      <c r="AD393" s="26">
        <v>0</v>
      </c>
      <c r="AE393" s="26">
        <v>0</v>
      </c>
      <c r="AF393" s="26">
        <v>0</v>
      </c>
      <c r="AG393" s="26">
        <v>0</v>
      </c>
      <c r="AH393" s="26">
        <v>0</v>
      </c>
      <c r="AI393" s="26">
        <v>0</v>
      </c>
      <c r="AJ393" s="26"/>
    </row>
    <row r="394" spans="1:36">
      <c r="A394" s="26" t="s">
        <v>323</v>
      </c>
      <c r="B394" s="26">
        <v>0</v>
      </c>
      <c r="C394" s="26">
        <v>0</v>
      </c>
      <c r="D394" s="26">
        <v>0</v>
      </c>
      <c r="E394" s="26">
        <v>0</v>
      </c>
      <c r="F394" s="26">
        <v>0</v>
      </c>
      <c r="G394" s="26">
        <v>0</v>
      </c>
      <c r="H394" s="26">
        <v>0</v>
      </c>
      <c r="I394" s="26">
        <v>0</v>
      </c>
      <c r="J394" s="26">
        <v>0</v>
      </c>
      <c r="K394" s="26">
        <v>0</v>
      </c>
      <c r="L394" s="26">
        <v>0</v>
      </c>
      <c r="M394" s="26">
        <v>0</v>
      </c>
      <c r="N394" s="26">
        <v>0</v>
      </c>
      <c r="O394" s="26">
        <v>0</v>
      </c>
      <c r="P394" s="26">
        <v>0</v>
      </c>
      <c r="Q394" s="26">
        <v>0</v>
      </c>
      <c r="R394" s="26">
        <v>0</v>
      </c>
      <c r="S394" s="26">
        <v>0</v>
      </c>
      <c r="T394" s="26">
        <v>0</v>
      </c>
      <c r="U394" s="26">
        <v>0</v>
      </c>
      <c r="V394" s="26">
        <v>0</v>
      </c>
      <c r="W394" s="26">
        <v>0</v>
      </c>
      <c r="X394" s="26">
        <v>0</v>
      </c>
      <c r="Y394" s="26">
        <v>0</v>
      </c>
      <c r="Z394" s="26">
        <v>0</v>
      </c>
      <c r="AA394" s="26">
        <v>0</v>
      </c>
      <c r="AB394" s="26">
        <v>0</v>
      </c>
      <c r="AC394" s="26">
        <v>0</v>
      </c>
      <c r="AD394" s="26">
        <v>0</v>
      </c>
      <c r="AE394" s="26">
        <v>0</v>
      </c>
      <c r="AF394" s="26">
        <v>0</v>
      </c>
      <c r="AG394" s="26">
        <v>0</v>
      </c>
      <c r="AH394" s="26">
        <v>0</v>
      </c>
      <c r="AI394" s="26">
        <v>0</v>
      </c>
      <c r="AJ394" s="26"/>
    </row>
    <row r="395" spans="1:36">
      <c r="A395" s="26" t="s">
        <v>342</v>
      </c>
      <c r="B395" s="26">
        <f>$H$258*$I$155*'TX SEDS'!C197*SUM($E$154:$F$154)/SUM($E$154:$G$154)</f>
        <v>0.28890389139883094</v>
      </c>
      <c r="C395" s="26">
        <f>$H$258*$I$155*'TX SEDS'!D197*SUM($E$154:$F$154)/SUM($E$154:$G$154)</f>
        <v>0.28758611019566932</v>
      </c>
      <c r="D395" s="26">
        <f>$H$258*$I$155*'TX SEDS'!E197*SUM($E$154:$F$154)/SUM($E$154:$G$154)</f>
        <v>0.28626832899250765</v>
      </c>
      <c r="E395" s="26">
        <f>D395*Q277/P277</f>
        <v>0.27372357264496355</v>
      </c>
      <c r="F395" s="26">
        <f t="shared" ref="F395:AI395" si="141">E395*R277/Q277</f>
        <v>0.25191969577293</v>
      </c>
      <c r="G395" s="26">
        <f t="shared" si="141"/>
        <v>0.23642254424630638</v>
      </c>
      <c r="H395" s="26">
        <f t="shared" si="141"/>
        <v>0.22244105301706166</v>
      </c>
      <c r="I395" s="26">
        <f t="shared" si="141"/>
        <v>0.20638119250828674</v>
      </c>
      <c r="J395" s="26">
        <f t="shared" si="141"/>
        <v>0.18855135647383592</v>
      </c>
      <c r="K395" s="26">
        <f t="shared" si="141"/>
        <v>0.16988988041121869</v>
      </c>
      <c r="L395" s="26">
        <f t="shared" si="141"/>
        <v>0.1511560560508963</v>
      </c>
      <c r="M395" s="26">
        <f t="shared" si="141"/>
        <v>0.13240834666374157</v>
      </c>
      <c r="N395" s="26">
        <f t="shared" si="141"/>
        <v>0.11357367316116347</v>
      </c>
      <c r="O395" s="26">
        <f t="shared" si="141"/>
        <v>9.4740461240357191E-2</v>
      </c>
      <c r="P395" s="26">
        <f t="shared" si="141"/>
        <v>7.5887517965631326E-2</v>
      </c>
      <c r="Q395" s="26">
        <f t="shared" si="141"/>
        <v>5.7035451639968572E-2</v>
      </c>
      <c r="R395" s="26">
        <f t="shared" si="141"/>
        <v>3.8169865682916464E-2</v>
      </c>
      <c r="S395" s="26">
        <f t="shared" si="141"/>
        <v>1.9298871873308608E-2</v>
      </c>
      <c r="T395" s="26">
        <f t="shared" si="141"/>
        <v>4.238068276753428E-4</v>
      </c>
      <c r="U395" s="26">
        <f t="shared" si="141"/>
        <v>3.8512752766585798E-4</v>
      </c>
      <c r="V395" s="26">
        <f t="shared" si="141"/>
        <v>3.8513556636560301E-4</v>
      </c>
      <c r="W395" s="26">
        <f t="shared" si="141"/>
        <v>3.8517137511901264E-4</v>
      </c>
      <c r="X395" s="26">
        <f t="shared" si="141"/>
        <v>3.8520791466330819E-4</v>
      </c>
      <c r="Y395" s="26">
        <f t="shared" si="141"/>
        <v>3.8524372341671782E-4</v>
      </c>
      <c r="Z395" s="26">
        <f t="shared" si="141"/>
        <v>3.8527953217012745E-4</v>
      </c>
      <c r="AA395" s="26">
        <f t="shared" si="141"/>
        <v>3.85316071714423E-4</v>
      </c>
      <c r="AB395" s="26">
        <f t="shared" si="141"/>
        <v>3.8535188046783263E-4</v>
      </c>
      <c r="AC395" s="26">
        <f t="shared" si="141"/>
        <v>3.8538842001212818E-4</v>
      </c>
      <c r="AD395" s="26">
        <f t="shared" si="141"/>
        <v>3.8542422876553781E-4</v>
      </c>
      <c r="AE395" s="26">
        <f t="shared" si="141"/>
        <v>3.8546003751894743E-4</v>
      </c>
      <c r="AF395" s="26">
        <f t="shared" si="141"/>
        <v>3.8549584627235706E-4</v>
      </c>
      <c r="AG395" s="26">
        <f t="shared" si="141"/>
        <v>3.8553238581665261E-4</v>
      </c>
      <c r="AH395" s="26">
        <f t="shared" si="141"/>
        <v>3.8556819457006224E-4</v>
      </c>
      <c r="AI395" s="26">
        <f t="shared" si="141"/>
        <v>3.8560400332347187E-4</v>
      </c>
      <c r="AJ395" s="26"/>
    </row>
    <row r="396" spans="1:36">
      <c r="A396" s="26" t="s">
        <v>1013</v>
      </c>
      <c r="B396" s="26">
        <f>$E$258*$I$145*'TX SEDS'!C201</f>
        <v>0</v>
      </c>
      <c r="C396" s="26">
        <f>$E$258*$I$145*'TX SEDS'!D201</f>
        <v>0</v>
      </c>
      <c r="D396" s="26">
        <f>$E$258*$I$145*'TX SEDS'!E201</f>
        <v>0</v>
      </c>
      <c r="E396" s="26">
        <f>$E$258*$I$145*'TX SEDS'!F201</f>
        <v>0</v>
      </c>
      <c r="F396" s="26">
        <f>$E$258*$I$145*'TX SEDS'!G201</f>
        <v>0</v>
      </c>
      <c r="G396" s="26">
        <f>$E$258*$I$145*'TX SEDS'!H201</f>
        <v>0</v>
      </c>
      <c r="H396" s="26">
        <f>$E$258*$I$145*'TX SEDS'!I201</f>
        <v>0</v>
      </c>
      <c r="I396" s="26">
        <f>$E$258*$I$145*'TX SEDS'!J201</f>
        <v>0</v>
      </c>
      <c r="J396" s="26">
        <f>$E$258*$I$145*'TX SEDS'!K201</f>
        <v>0</v>
      </c>
      <c r="K396" s="26">
        <f>$E$258*$I$145*'TX SEDS'!L201</f>
        <v>0</v>
      </c>
      <c r="L396" s="26">
        <f>$E$258*$I$145*'TX SEDS'!M201</f>
        <v>0</v>
      </c>
      <c r="M396" s="26">
        <f>$E$258*$I$145*'TX SEDS'!N201</f>
        <v>0</v>
      </c>
      <c r="N396" s="26">
        <f>$E$258*$I$145*'TX SEDS'!O201</f>
        <v>0</v>
      </c>
      <c r="O396" s="26">
        <f>$E$258*$I$145*'TX SEDS'!P201</f>
        <v>0</v>
      </c>
      <c r="P396" s="26">
        <f>$E$258*$I$145*'TX SEDS'!Q201</f>
        <v>0</v>
      </c>
      <c r="Q396" s="26">
        <f>$E$258*$I$145*'TX SEDS'!R201</f>
        <v>0</v>
      </c>
      <c r="R396" s="26">
        <f>$E$258*$I$145*'TX SEDS'!S201</f>
        <v>0</v>
      </c>
      <c r="S396" s="26">
        <f>$E$258*$I$145*'TX SEDS'!T201</f>
        <v>0</v>
      </c>
      <c r="T396" s="26">
        <f>$E$258*$I$145*'TX SEDS'!U201</f>
        <v>0</v>
      </c>
      <c r="U396" s="26">
        <f>$E$258*$I$145*'TX SEDS'!V201</f>
        <v>0</v>
      </c>
      <c r="V396" s="26">
        <f>$E$258*$I$145*'TX SEDS'!W201</f>
        <v>0</v>
      </c>
      <c r="W396" s="26">
        <f>$E$258*$I$145*'TX SEDS'!X201</f>
        <v>0</v>
      </c>
      <c r="X396" s="26">
        <f>$E$258*$I$145*'TX SEDS'!Y201</f>
        <v>0</v>
      </c>
      <c r="Y396" s="26">
        <f>$E$258*$I$145*'TX SEDS'!Z201</f>
        <v>0</v>
      </c>
      <c r="Z396" s="26">
        <f>$E$258*$I$145*'TX SEDS'!AA201</f>
        <v>0</v>
      </c>
      <c r="AA396" s="26">
        <f>$E$258*$I$145*'TX SEDS'!AB201</f>
        <v>0</v>
      </c>
      <c r="AB396" s="26">
        <f>$E$258*$I$145*'TX SEDS'!AC201</f>
        <v>0</v>
      </c>
      <c r="AC396" s="26">
        <f>$E$258*$I$145*'TX SEDS'!AD201</f>
        <v>0</v>
      </c>
      <c r="AD396" s="26">
        <f>$E$258*$I$145*'TX SEDS'!AE201</f>
        <v>0</v>
      </c>
      <c r="AE396" s="26">
        <f>$E$258*$I$145*'TX SEDS'!AF201</f>
        <v>0</v>
      </c>
      <c r="AF396" s="26">
        <f>$E$258*$I$145*'TX SEDS'!AG201</f>
        <v>0</v>
      </c>
      <c r="AG396" s="26">
        <f>$E$258*$I$145*'TX SEDS'!AH201</f>
        <v>0</v>
      </c>
      <c r="AH396" s="26">
        <f>$E$258*$I$145*'TX SEDS'!AI201</f>
        <v>0</v>
      </c>
      <c r="AI396" s="26">
        <f>$E$258*$I$145*'TX SEDS'!AJ201</f>
        <v>0</v>
      </c>
      <c r="AJ396" s="26"/>
    </row>
    <row r="397" spans="1:36">
      <c r="A397" s="26" t="s">
        <v>1014</v>
      </c>
      <c r="B397" s="26">
        <v>0</v>
      </c>
      <c r="C397" s="26">
        <f>B397</f>
        <v>0</v>
      </c>
      <c r="D397" s="26">
        <f t="shared" ref="D397:F397" si="142">C397</f>
        <v>0</v>
      </c>
      <c r="E397" s="26">
        <f t="shared" si="142"/>
        <v>0</v>
      </c>
      <c r="F397" s="26">
        <f t="shared" si="142"/>
        <v>0</v>
      </c>
      <c r="G397" s="26">
        <f t="shared" ref="G397:AI397" si="143">F397</f>
        <v>0</v>
      </c>
      <c r="H397" s="26">
        <f t="shared" si="143"/>
        <v>0</v>
      </c>
      <c r="I397" s="26">
        <f t="shared" si="143"/>
        <v>0</v>
      </c>
      <c r="J397" s="26">
        <f t="shared" si="143"/>
        <v>0</v>
      </c>
      <c r="K397" s="26">
        <f t="shared" si="143"/>
        <v>0</v>
      </c>
      <c r="L397" s="26">
        <f t="shared" si="143"/>
        <v>0</v>
      </c>
      <c r="M397" s="26">
        <f t="shared" si="143"/>
        <v>0</v>
      </c>
      <c r="N397" s="26">
        <f t="shared" si="143"/>
        <v>0</v>
      </c>
      <c r="O397" s="26">
        <f t="shared" si="143"/>
        <v>0</v>
      </c>
      <c r="P397" s="26">
        <f t="shared" si="143"/>
        <v>0</v>
      </c>
      <c r="Q397" s="26">
        <f t="shared" si="143"/>
        <v>0</v>
      </c>
      <c r="R397" s="26">
        <f t="shared" si="143"/>
        <v>0</v>
      </c>
      <c r="S397" s="26">
        <f t="shared" si="143"/>
        <v>0</v>
      </c>
      <c r="T397" s="26">
        <f t="shared" si="143"/>
        <v>0</v>
      </c>
      <c r="U397" s="26">
        <f t="shared" si="143"/>
        <v>0</v>
      </c>
      <c r="V397" s="26">
        <f t="shared" si="143"/>
        <v>0</v>
      </c>
      <c r="W397" s="26">
        <f t="shared" si="143"/>
        <v>0</v>
      </c>
      <c r="X397" s="26">
        <f t="shared" si="143"/>
        <v>0</v>
      </c>
      <c r="Y397" s="26">
        <f t="shared" si="143"/>
        <v>0</v>
      </c>
      <c r="Z397" s="26">
        <f t="shared" si="143"/>
        <v>0</v>
      </c>
      <c r="AA397" s="26">
        <f t="shared" si="143"/>
        <v>0</v>
      </c>
      <c r="AB397" s="26">
        <f t="shared" si="143"/>
        <v>0</v>
      </c>
      <c r="AC397" s="26">
        <f t="shared" si="143"/>
        <v>0</v>
      </c>
      <c r="AD397" s="26">
        <f t="shared" si="143"/>
        <v>0</v>
      </c>
      <c r="AE397" s="26">
        <f t="shared" si="143"/>
        <v>0</v>
      </c>
      <c r="AF397" s="26">
        <f t="shared" si="143"/>
        <v>0</v>
      </c>
      <c r="AG397" s="26">
        <f t="shared" si="143"/>
        <v>0</v>
      </c>
      <c r="AH397" s="26">
        <f t="shared" si="143"/>
        <v>0</v>
      </c>
      <c r="AI397" s="26">
        <f t="shared" si="143"/>
        <v>0</v>
      </c>
      <c r="AJ397" s="26"/>
    </row>
    <row r="399" spans="1:36">
      <c r="A399" s="1" t="s">
        <v>1246</v>
      </c>
    </row>
    <row r="401" spans="1:35" s="26" customFormat="1">
      <c r="A401" s="26" t="s">
        <v>813</v>
      </c>
      <c r="B401" s="26">
        <f>$C$324*Data!C81</f>
        <v>14.51111484493857</v>
      </c>
      <c r="C401" s="26">
        <f>$C$324*Data!D81</f>
        <v>14.618131218250351</v>
      </c>
      <c r="D401" s="26">
        <f>$C$324*Data!E81</f>
        <v>14.725057775050749</v>
      </c>
      <c r="E401" s="26">
        <f>$C$324*Data!F81</f>
        <v>14.831804698828382</v>
      </c>
      <c r="F401" s="26">
        <f>$C$324*Data!G81</f>
        <v>14.938237264816179</v>
      </c>
      <c r="G401" s="26">
        <f>$C$324*Data!H81</f>
        <v>15.04417583999137</v>
      </c>
      <c r="H401" s="26">
        <f>$C$324*Data!I81</f>
        <v>15.1494407913312</v>
      </c>
      <c r="I401" s="26">
        <f>$C$324*Data!J81</f>
        <v>15.253762669301516</v>
      </c>
      <c r="J401" s="26">
        <f>$C$324*Data!K81</f>
        <v>15.356961840879555</v>
      </c>
      <c r="K401" s="26">
        <f>$C$324*Data!L81</f>
        <v>15.458948489553938</v>
      </c>
      <c r="L401" s="26">
        <f>$C$324*Data!M81</f>
        <v>15.559857340091733</v>
      </c>
      <c r="M401" s="26">
        <f>$C$324*Data!N81</f>
        <v>15.659284218191726</v>
      </c>
      <c r="N401" s="26">
        <f>$C$324*Data!O81</f>
        <v>15.757049490831148</v>
      </c>
      <c r="O401" s="26">
        <f>$C$324*Data!P81</f>
        <v>15.852973524987235</v>
      </c>
      <c r="P401" s="26">
        <f>$C$324*Data!Q81</f>
        <v>15.946966504148609</v>
      </c>
      <c r="Q401" s="26">
        <f>$C$324*Data!R81</f>
        <v>16.038848795292502</v>
      </c>
      <c r="R401" s="26">
        <f>$C$324*Data!S81</f>
        <v>16.128665306674609</v>
      </c>
      <c r="S401" s="26">
        <f>$C$324*Data!T81</f>
        <v>16.216326221783547</v>
      </c>
      <c r="T401" s="26">
        <f>$C$324*Data!U81</f>
        <v>16.301831540619311</v>
      </c>
      <c r="U401" s="26">
        <f>$C$324*Data!V81</f>
        <v>16.385315987948978</v>
      </c>
      <c r="V401" s="26">
        <f>$C$324*Data!W81</f>
        <v>16.466779563772548</v>
      </c>
      <c r="W401" s="26">
        <f>$C$324*Data!X81</f>
        <v>16.546356992857092</v>
      </c>
      <c r="X401" s="26">
        <f>$C$324*Data!Y81</f>
        <v>16.624093183458303</v>
      </c>
      <c r="Y401" s="26">
        <f>$C$324*Data!Z81</f>
        <v>16.700077952087568</v>
      </c>
      <c r="Z401" s="26">
        <f>$C$324*Data!AA81</f>
        <v>16.774490931767644</v>
      </c>
      <c r="AA401" s="26">
        <f>$C$324*Data!AB81</f>
        <v>16.847421939009912</v>
      </c>
      <c r="AB401" s="26">
        <f>$C$324*Data!AC81</f>
        <v>16.919005698581454</v>
      </c>
      <c r="AC401" s="26">
        <f>$C$324*Data!AD81</f>
        <v>16.989421843505021</v>
      </c>
      <c r="AD401" s="26">
        <f>$C$324*Data!AE81</f>
        <v>17.058894915059081</v>
      </c>
      <c r="AE401" s="26">
        <f>$C$324*Data!AF81</f>
        <v>17.127559638010702</v>
      </c>
      <c r="AF401" s="26">
        <f>$C$324*Data!AG81</f>
        <v>17.19568546189403</v>
      </c>
      <c r="AG401" s="26">
        <f>$C$324*Data!AH81</f>
        <v>17.263407111476138</v>
      </c>
      <c r="AH401" s="26">
        <f>$C$324*Data!AI81</f>
        <v>17.330904219779789</v>
      </c>
      <c r="AI401" s="26">
        <f>$C$324*Data!AJ81</f>
        <v>17.398311511572061</v>
      </c>
    </row>
    <row r="402" spans="1:35">
      <c r="A402" s="5" t="s">
        <v>796</v>
      </c>
      <c r="B402" s="5">
        <v>0</v>
      </c>
      <c r="C402" s="5">
        <f>B402</f>
        <v>0</v>
      </c>
      <c r="D402" s="5">
        <f t="shared" ref="D402:F402" si="144">C402</f>
        <v>0</v>
      </c>
      <c r="E402" s="5">
        <f t="shared" si="144"/>
        <v>0</v>
      </c>
      <c r="F402" s="5">
        <f t="shared" si="144"/>
        <v>0</v>
      </c>
      <c r="G402" s="5">
        <f t="shared" ref="G402:AI402" si="145">F402</f>
        <v>0</v>
      </c>
      <c r="H402" s="5">
        <f t="shared" si="145"/>
        <v>0</v>
      </c>
      <c r="I402" s="5">
        <f t="shared" si="145"/>
        <v>0</v>
      </c>
      <c r="J402" s="5">
        <f t="shared" si="145"/>
        <v>0</v>
      </c>
      <c r="K402" s="5">
        <f t="shared" si="145"/>
        <v>0</v>
      </c>
      <c r="L402" s="5">
        <f t="shared" si="145"/>
        <v>0</v>
      </c>
      <c r="M402" s="5">
        <f t="shared" si="145"/>
        <v>0</v>
      </c>
      <c r="N402" s="5">
        <f t="shared" si="145"/>
        <v>0</v>
      </c>
      <c r="O402" s="5">
        <f t="shared" si="145"/>
        <v>0</v>
      </c>
      <c r="P402" s="5">
        <f t="shared" si="145"/>
        <v>0</v>
      </c>
      <c r="Q402" s="5">
        <f t="shared" si="145"/>
        <v>0</v>
      </c>
      <c r="R402" s="5">
        <f t="shared" si="145"/>
        <v>0</v>
      </c>
      <c r="S402" s="5">
        <f t="shared" si="145"/>
        <v>0</v>
      </c>
      <c r="T402" s="5">
        <f t="shared" si="145"/>
        <v>0</v>
      </c>
      <c r="U402" s="5">
        <f t="shared" si="145"/>
        <v>0</v>
      </c>
      <c r="V402" s="5">
        <f t="shared" si="145"/>
        <v>0</v>
      </c>
      <c r="W402" s="5">
        <f t="shared" si="145"/>
        <v>0</v>
      </c>
      <c r="X402" s="5">
        <f t="shared" si="145"/>
        <v>0</v>
      </c>
      <c r="Y402" s="5">
        <f t="shared" si="145"/>
        <v>0</v>
      </c>
      <c r="Z402" s="5">
        <f t="shared" si="145"/>
        <v>0</v>
      </c>
      <c r="AA402" s="5">
        <f t="shared" si="145"/>
        <v>0</v>
      </c>
      <c r="AB402" s="5">
        <f t="shared" si="145"/>
        <v>0</v>
      </c>
      <c r="AC402" s="5">
        <f t="shared" si="145"/>
        <v>0</v>
      </c>
      <c r="AD402" s="5">
        <f t="shared" si="145"/>
        <v>0</v>
      </c>
      <c r="AE402" s="5">
        <f t="shared" si="145"/>
        <v>0</v>
      </c>
      <c r="AF402" s="5">
        <f t="shared" si="145"/>
        <v>0</v>
      </c>
      <c r="AG402" s="5">
        <f t="shared" si="145"/>
        <v>0</v>
      </c>
      <c r="AH402" s="5">
        <f t="shared" si="145"/>
        <v>0</v>
      </c>
      <c r="AI402" s="5">
        <f t="shared" si="145"/>
        <v>0</v>
      </c>
    </row>
    <row r="403" spans="1:35">
      <c r="A403" s="5" t="s">
        <v>1010</v>
      </c>
      <c r="B403" s="5">
        <v>0</v>
      </c>
      <c r="C403" s="5">
        <f t="shared" ref="C403:F410" si="146">B403</f>
        <v>0</v>
      </c>
      <c r="D403" s="5">
        <f t="shared" si="146"/>
        <v>0</v>
      </c>
      <c r="E403" s="5">
        <f t="shared" si="146"/>
        <v>0</v>
      </c>
      <c r="F403" s="5">
        <f t="shared" si="146"/>
        <v>0</v>
      </c>
      <c r="G403" s="5">
        <f t="shared" ref="G403:AI403" si="147">F403</f>
        <v>0</v>
      </c>
      <c r="H403" s="5">
        <f t="shared" si="147"/>
        <v>0</v>
      </c>
      <c r="I403" s="5">
        <f t="shared" si="147"/>
        <v>0</v>
      </c>
      <c r="J403" s="5">
        <f t="shared" si="147"/>
        <v>0</v>
      </c>
      <c r="K403" s="5">
        <f t="shared" si="147"/>
        <v>0</v>
      </c>
      <c r="L403" s="5">
        <f t="shared" si="147"/>
        <v>0</v>
      </c>
      <c r="M403" s="5">
        <f t="shared" si="147"/>
        <v>0</v>
      </c>
      <c r="N403" s="5">
        <f t="shared" si="147"/>
        <v>0</v>
      </c>
      <c r="O403" s="5">
        <f t="shared" si="147"/>
        <v>0</v>
      </c>
      <c r="P403" s="5">
        <f t="shared" si="147"/>
        <v>0</v>
      </c>
      <c r="Q403" s="5">
        <f t="shared" si="147"/>
        <v>0</v>
      </c>
      <c r="R403" s="5">
        <f t="shared" si="147"/>
        <v>0</v>
      </c>
      <c r="S403" s="5">
        <f t="shared" si="147"/>
        <v>0</v>
      </c>
      <c r="T403" s="5">
        <f t="shared" si="147"/>
        <v>0</v>
      </c>
      <c r="U403" s="5">
        <f t="shared" si="147"/>
        <v>0</v>
      </c>
      <c r="V403" s="5">
        <f t="shared" si="147"/>
        <v>0</v>
      </c>
      <c r="W403" s="5">
        <f t="shared" si="147"/>
        <v>0</v>
      </c>
      <c r="X403" s="5">
        <f t="shared" si="147"/>
        <v>0</v>
      </c>
      <c r="Y403" s="5">
        <f t="shared" si="147"/>
        <v>0</v>
      </c>
      <c r="Z403" s="5">
        <f t="shared" si="147"/>
        <v>0</v>
      </c>
      <c r="AA403" s="5">
        <f t="shared" si="147"/>
        <v>0</v>
      </c>
      <c r="AB403" s="5">
        <f t="shared" si="147"/>
        <v>0</v>
      </c>
      <c r="AC403" s="5">
        <f t="shared" si="147"/>
        <v>0</v>
      </c>
      <c r="AD403" s="5">
        <f t="shared" si="147"/>
        <v>0</v>
      </c>
      <c r="AE403" s="5">
        <f t="shared" si="147"/>
        <v>0</v>
      </c>
      <c r="AF403" s="5">
        <f t="shared" si="147"/>
        <v>0</v>
      </c>
      <c r="AG403" s="5">
        <f t="shared" si="147"/>
        <v>0</v>
      </c>
      <c r="AH403" s="5">
        <f t="shared" si="147"/>
        <v>0</v>
      </c>
      <c r="AI403" s="5">
        <f t="shared" si="147"/>
        <v>0</v>
      </c>
    </row>
    <row r="404" spans="1:35">
      <c r="A404" s="5" t="s">
        <v>339</v>
      </c>
      <c r="B404" s="5">
        <v>0</v>
      </c>
      <c r="C404" s="5">
        <f t="shared" si="146"/>
        <v>0</v>
      </c>
      <c r="D404" s="5">
        <f t="shared" si="146"/>
        <v>0</v>
      </c>
      <c r="E404" s="5">
        <f t="shared" si="146"/>
        <v>0</v>
      </c>
      <c r="F404" s="5">
        <f t="shared" si="146"/>
        <v>0</v>
      </c>
      <c r="G404" s="5">
        <f t="shared" ref="G404:AI404" si="148">F404</f>
        <v>0</v>
      </c>
      <c r="H404" s="5">
        <f t="shared" si="148"/>
        <v>0</v>
      </c>
      <c r="I404" s="5">
        <f t="shared" si="148"/>
        <v>0</v>
      </c>
      <c r="J404" s="5">
        <f t="shared" si="148"/>
        <v>0</v>
      </c>
      <c r="K404" s="5">
        <f t="shared" si="148"/>
        <v>0</v>
      </c>
      <c r="L404" s="5">
        <f t="shared" si="148"/>
        <v>0</v>
      </c>
      <c r="M404" s="5">
        <f t="shared" si="148"/>
        <v>0</v>
      </c>
      <c r="N404" s="5">
        <f t="shared" si="148"/>
        <v>0</v>
      </c>
      <c r="O404" s="5">
        <f t="shared" si="148"/>
        <v>0</v>
      </c>
      <c r="P404" s="5">
        <f t="shared" si="148"/>
        <v>0</v>
      </c>
      <c r="Q404" s="5">
        <f t="shared" si="148"/>
        <v>0</v>
      </c>
      <c r="R404" s="5">
        <f t="shared" si="148"/>
        <v>0</v>
      </c>
      <c r="S404" s="5">
        <f t="shared" si="148"/>
        <v>0</v>
      </c>
      <c r="T404" s="5">
        <f t="shared" si="148"/>
        <v>0</v>
      </c>
      <c r="U404" s="5">
        <f t="shared" si="148"/>
        <v>0</v>
      </c>
      <c r="V404" s="5">
        <f t="shared" si="148"/>
        <v>0</v>
      </c>
      <c r="W404" s="5">
        <f t="shared" si="148"/>
        <v>0</v>
      </c>
      <c r="X404" s="5">
        <f t="shared" si="148"/>
        <v>0</v>
      </c>
      <c r="Y404" s="5">
        <f t="shared" si="148"/>
        <v>0</v>
      </c>
      <c r="Z404" s="5">
        <f t="shared" si="148"/>
        <v>0</v>
      </c>
      <c r="AA404" s="5">
        <f t="shared" si="148"/>
        <v>0</v>
      </c>
      <c r="AB404" s="5">
        <f t="shared" si="148"/>
        <v>0</v>
      </c>
      <c r="AC404" s="5">
        <f t="shared" si="148"/>
        <v>0</v>
      </c>
      <c r="AD404" s="5">
        <f t="shared" si="148"/>
        <v>0</v>
      </c>
      <c r="AE404" s="5">
        <f t="shared" si="148"/>
        <v>0</v>
      </c>
      <c r="AF404" s="5">
        <f t="shared" si="148"/>
        <v>0</v>
      </c>
      <c r="AG404" s="5">
        <f t="shared" si="148"/>
        <v>0</v>
      </c>
      <c r="AH404" s="5">
        <f t="shared" si="148"/>
        <v>0</v>
      </c>
      <c r="AI404" s="5">
        <f t="shared" si="148"/>
        <v>0</v>
      </c>
    </row>
    <row r="405" spans="1:35">
      <c r="A405" s="5" t="s">
        <v>1011</v>
      </c>
      <c r="B405" s="5">
        <v>0</v>
      </c>
      <c r="C405" s="5">
        <f t="shared" si="146"/>
        <v>0</v>
      </c>
      <c r="D405" s="5">
        <f t="shared" si="146"/>
        <v>0</v>
      </c>
      <c r="E405" s="5">
        <f t="shared" si="146"/>
        <v>0</v>
      </c>
      <c r="F405" s="5">
        <f t="shared" si="146"/>
        <v>0</v>
      </c>
      <c r="G405" s="5">
        <f t="shared" ref="G405:AI405" si="149">F405</f>
        <v>0</v>
      </c>
      <c r="H405" s="5">
        <f t="shared" si="149"/>
        <v>0</v>
      </c>
      <c r="I405" s="5">
        <f t="shared" si="149"/>
        <v>0</v>
      </c>
      <c r="J405" s="5">
        <f t="shared" si="149"/>
        <v>0</v>
      </c>
      <c r="K405" s="5">
        <f t="shared" si="149"/>
        <v>0</v>
      </c>
      <c r="L405" s="5">
        <f t="shared" si="149"/>
        <v>0</v>
      </c>
      <c r="M405" s="5">
        <f t="shared" si="149"/>
        <v>0</v>
      </c>
      <c r="N405" s="5">
        <f t="shared" si="149"/>
        <v>0</v>
      </c>
      <c r="O405" s="5">
        <f t="shared" si="149"/>
        <v>0</v>
      </c>
      <c r="P405" s="5">
        <f t="shared" si="149"/>
        <v>0</v>
      </c>
      <c r="Q405" s="5">
        <f t="shared" si="149"/>
        <v>0</v>
      </c>
      <c r="R405" s="5">
        <f t="shared" si="149"/>
        <v>0</v>
      </c>
      <c r="S405" s="5">
        <f t="shared" si="149"/>
        <v>0</v>
      </c>
      <c r="T405" s="5">
        <f t="shared" si="149"/>
        <v>0</v>
      </c>
      <c r="U405" s="5">
        <f t="shared" si="149"/>
        <v>0</v>
      </c>
      <c r="V405" s="5">
        <f t="shared" si="149"/>
        <v>0</v>
      </c>
      <c r="W405" s="5">
        <f t="shared" si="149"/>
        <v>0</v>
      </c>
      <c r="X405" s="5">
        <f t="shared" si="149"/>
        <v>0</v>
      </c>
      <c r="Y405" s="5">
        <f t="shared" si="149"/>
        <v>0</v>
      </c>
      <c r="Z405" s="5">
        <f t="shared" si="149"/>
        <v>0</v>
      </c>
      <c r="AA405" s="5">
        <f t="shared" si="149"/>
        <v>0</v>
      </c>
      <c r="AB405" s="5">
        <f t="shared" si="149"/>
        <v>0</v>
      </c>
      <c r="AC405" s="5">
        <f t="shared" si="149"/>
        <v>0</v>
      </c>
      <c r="AD405" s="5">
        <f t="shared" si="149"/>
        <v>0</v>
      </c>
      <c r="AE405" s="5">
        <f t="shared" si="149"/>
        <v>0</v>
      </c>
      <c r="AF405" s="5">
        <f t="shared" si="149"/>
        <v>0</v>
      </c>
      <c r="AG405" s="5">
        <f t="shared" si="149"/>
        <v>0</v>
      </c>
      <c r="AH405" s="5">
        <f t="shared" si="149"/>
        <v>0</v>
      </c>
      <c r="AI405" s="5">
        <f t="shared" si="149"/>
        <v>0</v>
      </c>
    </row>
    <row r="406" spans="1:35">
      <c r="A406" s="5" t="s">
        <v>1012</v>
      </c>
      <c r="B406" s="5">
        <v>0</v>
      </c>
      <c r="C406" s="5">
        <f t="shared" si="146"/>
        <v>0</v>
      </c>
      <c r="D406" s="5">
        <f t="shared" si="146"/>
        <v>0</v>
      </c>
      <c r="E406" s="5">
        <f t="shared" si="146"/>
        <v>0</v>
      </c>
      <c r="F406" s="5">
        <f t="shared" si="146"/>
        <v>0</v>
      </c>
      <c r="G406" s="5">
        <f t="shared" ref="G406:AI406" si="150">F406</f>
        <v>0</v>
      </c>
      <c r="H406" s="5">
        <f t="shared" si="150"/>
        <v>0</v>
      </c>
      <c r="I406" s="5">
        <f t="shared" si="150"/>
        <v>0</v>
      </c>
      <c r="J406" s="5">
        <f t="shared" si="150"/>
        <v>0</v>
      </c>
      <c r="K406" s="5">
        <f t="shared" si="150"/>
        <v>0</v>
      </c>
      <c r="L406" s="5">
        <f t="shared" si="150"/>
        <v>0</v>
      </c>
      <c r="M406" s="5">
        <f t="shared" si="150"/>
        <v>0</v>
      </c>
      <c r="N406" s="5">
        <f t="shared" si="150"/>
        <v>0</v>
      </c>
      <c r="O406" s="5">
        <f t="shared" si="150"/>
        <v>0</v>
      </c>
      <c r="P406" s="5">
        <f t="shared" si="150"/>
        <v>0</v>
      </c>
      <c r="Q406" s="5">
        <f t="shared" si="150"/>
        <v>0</v>
      </c>
      <c r="R406" s="5">
        <f t="shared" si="150"/>
        <v>0</v>
      </c>
      <c r="S406" s="5">
        <f t="shared" si="150"/>
        <v>0</v>
      </c>
      <c r="T406" s="5">
        <f t="shared" si="150"/>
        <v>0</v>
      </c>
      <c r="U406" s="5">
        <f t="shared" si="150"/>
        <v>0</v>
      </c>
      <c r="V406" s="5">
        <f t="shared" si="150"/>
        <v>0</v>
      </c>
      <c r="W406" s="5">
        <f t="shared" si="150"/>
        <v>0</v>
      </c>
      <c r="X406" s="5">
        <f t="shared" si="150"/>
        <v>0</v>
      </c>
      <c r="Y406" s="5">
        <f t="shared" si="150"/>
        <v>0</v>
      </c>
      <c r="Z406" s="5">
        <f t="shared" si="150"/>
        <v>0</v>
      </c>
      <c r="AA406" s="5">
        <f t="shared" si="150"/>
        <v>0</v>
      </c>
      <c r="AB406" s="5">
        <f t="shared" si="150"/>
        <v>0</v>
      </c>
      <c r="AC406" s="5">
        <f t="shared" si="150"/>
        <v>0</v>
      </c>
      <c r="AD406" s="5">
        <f t="shared" si="150"/>
        <v>0</v>
      </c>
      <c r="AE406" s="5">
        <f t="shared" si="150"/>
        <v>0</v>
      </c>
      <c r="AF406" s="5">
        <f t="shared" si="150"/>
        <v>0</v>
      </c>
      <c r="AG406" s="5">
        <f t="shared" si="150"/>
        <v>0</v>
      </c>
      <c r="AH406" s="5">
        <f t="shared" si="150"/>
        <v>0</v>
      </c>
      <c r="AI406" s="5">
        <f t="shared" si="150"/>
        <v>0</v>
      </c>
    </row>
    <row r="407" spans="1:35">
      <c r="A407" s="26" t="s">
        <v>323</v>
      </c>
      <c r="B407" s="26">
        <v>0</v>
      </c>
      <c r="C407" s="26">
        <f t="shared" si="146"/>
        <v>0</v>
      </c>
      <c r="D407" s="26">
        <f t="shared" si="146"/>
        <v>0</v>
      </c>
      <c r="E407" s="26">
        <f t="shared" si="146"/>
        <v>0</v>
      </c>
      <c r="F407" s="26">
        <f t="shared" si="146"/>
        <v>0</v>
      </c>
      <c r="G407" s="26">
        <f t="shared" ref="G407:AI407" si="151">F407</f>
        <v>0</v>
      </c>
      <c r="H407" s="26">
        <f t="shared" si="151"/>
        <v>0</v>
      </c>
      <c r="I407" s="26">
        <f t="shared" si="151"/>
        <v>0</v>
      </c>
      <c r="J407" s="26">
        <f t="shared" si="151"/>
        <v>0</v>
      </c>
      <c r="K407" s="26">
        <f t="shared" si="151"/>
        <v>0</v>
      </c>
      <c r="L407" s="26">
        <f t="shared" si="151"/>
        <v>0</v>
      </c>
      <c r="M407" s="26">
        <f t="shared" si="151"/>
        <v>0</v>
      </c>
      <c r="N407" s="26">
        <f t="shared" si="151"/>
        <v>0</v>
      </c>
      <c r="O407" s="26">
        <f t="shared" si="151"/>
        <v>0</v>
      </c>
      <c r="P407" s="26">
        <f t="shared" si="151"/>
        <v>0</v>
      </c>
      <c r="Q407" s="26">
        <f t="shared" si="151"/>
        <v>0</v>
      </c>
      <c r="R407" s="26">
        <f t="shared" si="151"/>
        <v>0</v>
      </c>
      <c r="S407" s="26">
        <f t="shared" si="151"/>
        <v>0</v>
      </c>
      <c r="T407" s="26">
        <f t="shared" si="151"/>
        <v>0</v>
      </c>
      <c r="U407" s="26">
        <f t="shared" si="151"/>
        <v>0</v>
      </c>
      <c r="V407" s="26">
        <f t="shared" si="151"/>
        <v>0</v>
      </c>
      <c r="W407" s="26">
        <f t="shared" si="151"/>
        <v>0</v>
      </c>
      <c r="X407" s="26">
        <f t="shared" si="151"/>
        <v>0</v>
      </c>
      <c r="Y407" s="26">
        <f t="shared" si="151"/>
        <v>0</v>
      </c>
      <c r="Z407" s="26">
        <f t="shared" si="151"/>
        <v>0</v>
      </c>
      <c r="AA407" s="26">
        <f t="shared" si="151"/>
        <v>0</v>
      </c>
      <c r="AB407" s="26">
        <f t="shared" si="151"/>
        <v>0</v>
      </c>
      <c r="AC407" s="26">
        <f t="shared" si="151"/>
        <v>0</v>
      </c>
      <c r="AD407" s="26">
        <f t="shared" si="151"/>
        <v>0</v>
      </c>
      <c r="AE407" s="26">
        <f t="shared" si="151"/>
        <v>0</v>
      </c>
      <c r="AF407" s="26">
        <f t="shared" si="151"/>
        <v>0</v>
      </c>
      <c r="AG407" s="26">
        <f t="shared" si="151"/>
        <v>0</v>
      </c>
      <c r="AH407" s="26">
        <f t="shared" si="151"/>
        <v>0</v>
      </c>
      <c r="AI407" s="26">
        <f t="shared" si="151"/>
        <v>0</v>
      </c>
    </row>
    <row r="408" spans="1:35">
      <c r="A408" s="26" t="s">
        <v>342</v>
      </c>
      <c r="B408" s="26">
        <v>0</v>
      </c>
      <c r="C408" s="26">
        <f t="shared" si="146"/>
        <v>0</v>
      </c>
      <c r="D408" s="26">
        <f t="shared" si="146"/>
        <v>0</v>
      </c>
      <c r="E408" s="26">
        <f t="shared" si="146"/>
        <v>0</v>
      </c>
      <c r="F408" s="26">
        <f t="shared" si="146"/>
        <v>0</v>
      </c>
      <c r="G408" s="26">
        <f t="shared" ref="G408:AI408" si="152">F408</f>
        <v>0</v>
      </c>
      <c r="H408" s="26">
        <f t="shared" si="152"/>
        <v>0</v>
      </c>
      <c r="I408" s="26">
        <f t="shared" si="152"/>
        <v>0</v>
      </c>
      <c r="J408" s="26">
        <f t="shared" si="152"/>
        <v>0</v>
      </c>
      <c r="K408" s="26">
        <f t="shared" si="152"/>
        <v>0</v>
      </c>
      <c r="L408" s="26">
        <f t="shared" si="152"/>
        <v>0</v>
      </c>
      <c r="M408" s="26">
        <f t="shared" si="152"/>
        <v>0</v>
      </c>
      <c r="N408" s="26">
        <f t="shared" si="152"/>
        <v>0</v>
      </c>
      <c r="O408" s="26">
        <f t="shared" si="152"/>
        <v>0</v>
      </c>
      <c r="P408" s="26">
        <f t="shared" si="152"/>
        <v>0</v>
      </c>
      <c r="Q408" s="26">
        <f t="shared" si="152"/>
        <v>0</v>
      </c>
      <c r="R408" s="26">
        <f t="shared" si="152"/>
        <v>0</v>
      </c>
      <c r="S408" s="26">
        <f t="shared" si="152"/>
        <v>0</v>
      </c>
      <c r="T408" s="26">
        <f t="shared" si="152"/>
        <v>0</v>
      </c>
      <c r="U408" s="26">
        <f t="shared" si="152"/>
        <v>0</v>
      </c>
      <c r="V408" s="26">
        <f t="shared" si="152"/>
        <v>0</v>
      </c>
      <c r="W408" s="26">
        <f t="shared" si="152"/>
        <v>0</v>
      </c>
      <c r="X408" s="26">
        <f t="shared" si="152"/>
        <v>0</v>
      </c>
      <c r="Y408" s="26">
        <f t="shared" si="152"/>
        <v>0</v>
      </c>
      <c r="Z408" s="26">
        <f t="shared" si="152"/>
        <v>0</v>
      </c>
      <c r="AA408" s="26">
        <f t="shared" si="152"/>
        <v>0</v>
      </c>
      <c r="AB408" s="26">
        <f t="shared" si="152"/>
        <v>0</v>
      </c>
      <c r="AC408" s="26">
        <f t="shared" si="152"/>
        <v>0</v>
      </c>
      <c r="AD408" s="26">
        <f t="shared" si="152"/>
        <v>0</v>
      </c>
      <c r="AE408" s="26">
        <f t="shared" si="152"/>
        <v>0</v>
      </c>
      <c r="AF408" s="26">
        <f t="shared" si="152"/>
        <v>0</v>
      </c>
      <c r="AG408" s="26">
        <f t="shared" si="152"/>
        <v>0</v>
      </c>
      <c r="AH408" s="26">
        <f t="shared" si="152"/>
        <v>0</v>
      </c>
      <c r="AI408" s="26">
        <f t="shared" si="152"/>
        <v>0</v>
      </c>
    </row>
    <row r="409" spans="1:35">
      <c r="A409" s="26" t="s">
        <v>1013</v>
      </c>
      <c r="B409" s="26">
        <v>0</v>
      </c>
      <c r="C409" s="26">
        <f t="shared" si="146"/>
        <v>0</v>
      </c>
      <c r="D409" s="26">
        <f t="shared" si="146"/>
        <v>0</v>
      </c>
      <c r="E409" s="26">
        <f t="shared" si="146"/>
        <v>0</v>
      </c>
      <c r="F409" s="26">
        <f t="shared" si="146"/>
        <v>0</v>
      </c>
      <c r="G409" s="26">
        <f t="shared" ref="G409:AI409" si="153">F409</f>
        <v>0</v>
      </c>
      <c r="H409" s="26">
        <f t="shared" si="153"/>
        <v>0</v>
      </c>
      <c r="I409" s="26">
        <f t="shared" si="153"/>
        <v>0</v>
      </c>
      <c r="J409" s="26">
        <f t="shared" si="153"/>
        <v>0</v>
      </c>
      <c r="K409" s="26">
        <f t="shared" si="153"/>
        <v>0</v>
      </c>
      <c r="L409" s="26">
        <f t="shared" si="153"/>
        <v>0</v>
      </c>
      <c r="M409" s="26">
        <f t="shared" si="153"/>
        <v>0</v>
      </c>
      <c r="N409" s="26">
        <f t="shared" si="153"/>
        <v>0</v>
      </c>
      <c r="O409" s="26">
        <f t="shared" si="153"/>
        <v>0</v>
      </c>
      <c r="P409" s="26">
        <f t="shared" si="153"/>
        <v>0</v>
      </c>
      <c r="Q409" s="26">
        <f t="shared" si="153"/>
        <v>0</v>
      </c>
      <c r="R409" s="26">
        <f t="shared" si="153"/>
        <v>0</v>
      </c>
      <c r="S409" s="26">
        <f t="shared" si="153"/>
        <v>0</v>
      </c>
      <c r="T409" s="26">
        <f t="shared" si="153"/>
        <v>0</v>
      </c>
      <c r="U409" s="26">
        <f t="shared" si="153"/>
        <v>0</v>
      </c>
      <c r="V409" s="26">
        <f t="shared" si="153"/>
        <v>0</v>
      </c>
      <c r="W409" s="26">
        <f t="shared" si="153"/>
        <v>0</v>
      </c>
      <c r="X409" s="26">
        <f t="shared" si="153"/>
        <v>0</v>
      </c>
      <c r="Y409" s="26">
        <f t="shared" si="153"/>
        <v>0</v>
      </c>
      <c r="Z409" s="26">
        <f t="shared" si="153"/>
        <v>0</v>
      </c>
      <c r="AA409" s="26">
        <f t="shared" si="153"/>
        <v>0</v>
      </c>
      <c r="AB409" s="26">
        <f t="shared" si="153"/>
        <v>0</v>
      </c>
      <c r="AC409" s="26">
        <f t="shared" si="153"/>
        <v>0</v>
      </c>
      <c r="AD409" s="26">
        <f t="shared" si="153"/>
        <v>0</v>
      </c>
      <c r="AE409" s="26">
        <f t="shared" si="153"/>
        <v>0</v>
      </c>
      <c r="AF409" s="26">
        <f t="shared" si="153"/>
        <v>0</v>
      </c>
      <c r="AG409" s="26">
        <f t="shared" si="153"/>
        <v>0</v>
      </c>
      <c r="AH409" s="26">
        <f t="shared" si="153"/>
        <v>0</v>
      </c>
      <c r="AI409" s="26">
        <f t="shared" si="153"/>
        <v>0</v>
      </c>
    </row>
    <row r="410" spans="1:35">
      <c r="A410" s="26" t="s">
        <v>1014</v>
      </c>
      <c r="B410" s="26">
        <v>0</v>
      </c>
      <c r="C410" s="26">
        <f t="shared" si="146"/>
        <v>0</v>
      </c>
      <c r="D410" s="26">
        <f t="shared" si="146"/>
        <v>0</v>
      </c>
      <c r="E410" s="26">
        <f t="shared" si="146"/>
        <v>0</v>
      </c>
      <c r="F410" s="26">
        <f t="shared" si="146"/>
        <v>0</v>
      </c>
      <c r="G410" s="26">
        <f t="shared" ref="G410:AI410" si="154">F410</f>
        <v>0</v>
      </c>
      <c r="H410" s="26">
        <f t="shared" si="154"/>
        <v>0</v>
      </c>
      <c r="I410" s="26">
        <f t="shared" si="154"/>
        <v>0</v>
      </c>
      <c r="J410" s="26">
        <f t="shared" si="154"/>
        <v>0</v>
      </c>
      <c r="K410" s="26">
        <f t="shared" si="154"/>
        <v>0</v>
      </c>
      <c r="L410" s="26">
        <f t="shared" si="154"/>
        <v>0</v>
      </c>
      <c r="M410" s="26">
        <f t="shared" si="154"/>
        <v>0</v>
      </c>
      <c r="N410" s="26">
        <f t="shared" si="154"/>
        <v>0</v>
      </c>
      <c r="O410" s="26">
        <f t="shared" si="154"/>
        <v>0</v>
      </c>
      <c r="P410" s="26">
        <f t="shared" si="154"/>
        <v>0</v>
      </c>
      <c r="Q410" s="26">
        <f t="shared" si="154"/>
        <v>0</v>
      </c>
      <c r="R410" s="26">
        <f t="shared" si="154"/>
        <v>0</v>
      </c>
      <c r="S410" s="26">
        <f t="shared" si="154"/>
        <v>0</v>
      </c>
      <c r="T410" s="26">
        <f t="shared" si="154"/>
        <v>0</v>
      </c>
      <c r="U410" s="26">
        <f t="shared" si="154"/>
        <v>0</v>
      </c>
      <c r="V410" s="26">
        <f t="shared" si="154"/>
        <v>0</v>
      </c>
      <c r="W410" s="26">
        <f t="shared" si="154"/>
        <v>0</v>
      </c>
      <c r="X410" s="26">
        <f t="shared" si="154"/>
        <v>0</v>
      </c>
      <c r="Y410" s="26">
        <f t="shared" si="154"/>
        <v>0</v>
      </c>
      <c r="Z410" s="26">
        <f t="shared" si="154"/>
        <v>0</v>
      </c>
      <c r="AA410" s="26">
        <f t="shared" si="154"/>
        <v>0</v>
      </c>
      <c r="AB410" s="26">
        <f t="shared" si="154"/>
        <v>0</v>
      </c>
      <c r="AC410" s="26">
        <f t="shared" si="154"/>
        <v>0</v>
      </c>
      <c r="AD410" s="26">
        <f t="shared" si="154"/>
        <v>0</v>
      </c>
      <c r="AE410" s="26">
        <f t="shared" si="154"/>
        <v>0</v>
      </c>
      <c r="AF410" s="26">
        <f t="shared" si="154"/>
        <v>0</v>
      </c>
      <c r="AG410" s="26">
        <f t="shared" si="154"/>
        <v>0</v>
      </c>
      <c r="AH410" s="26">
        <f t="shared" si="154"/>
        <v>0</v>
      </c>
      <c r="AI410" s="26">
        <f t="shared" si="154"/>
        <v>0</v>
      </c>
    </row>
    <row r="411" spans="1: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row>
    <row r="412" spans="1:35">
      <c r="A412" s="41" t="s">
        <v>1241</v>
      </c>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row>
    <row r="413" spans="1: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row>
    <row r="414" spans="1:35">
      <c r="A414" s="26" t="s">
        <v>813</v>
      </c>
      <c r="B414" s="26">
        <f>$I$149*'TX SEDS'!C168</f>
        <v>23.094488553445537</v>
      </c>
      <c r="C414" s="26">
        <f>$I$149*'TX SEDS'!D168</f>
        <v>23.327830876488481</v>
      </c>
      <c r="D414" s="26">
        <f>$I$149*'TX SEDS'!E168</f>
        <v>23.561173199531424</v>
      </c>
      <c r="E414" s="26">
        <f>$I$149*'TX SEDS'!F168</f>
        <v>23.794515522574368</v>
      </c>
      <c r="F414" s="26">
        <f>$I$149*'TX SEDS'!G168</f>
        <v>24.027857845617312</v>
      </c>
      <c r="G414" s="26">
        <f>$I$149*'TX SEDS'!H168</f>
        <v>24.261200168660256</v>
      </c>
      <c r="H414" s="26">
        <f>$I$149*'TX SEDS'!I168</f>
        <v>24.4945424917032</v>
      </c>
      <c r="I414" s="26">
        <f>$I$149*'TX SEDS'!J168</f>
        <v>24.727884814746144</v>
      </c>
      <c r="J414" s="26">
        <f>$I$149*'TX SEDS'!K168</f>
        <v>24.961227137789088</v>
      </c>
      <c r="K414" s="26">
        <f>$I$149*'TX SEDS'!L168</f>
        <v>25.194569460832032</v>
      </c>
      <c r="L414" s="26">
        <f>$I$149*'TX SEDS'!M168</f>
        <v>25.427911783874976</v>
      </c>
      <c r="M414" s="26">
        <f>$I$149*'TX SEDS'!N168</f>
        <v>25.661254106917919</v>
      </c>
      <c r="N414" s="26">
        <f>$I$149*'TX SEDS'!O168</f>
        <v>25.894596429960863</v>
      </c>
      <c r="O414" s="26">
        <f>$I$149*'TX SEDS'!P168</f>
        <v>26.127938753003811</v>
      </c>
      <c r="P414" s="26">
        <f>$I$149*'TX SEDS'!Q168</f>
        <v>26.361281076046755</v>
      </c>
      <c r="Q414" s="26">
        <f>$I$149*'TX SEDS'!R168</f>
        <v>26.594623399089699</v>
      </c>
      <c r="R414" s="26">
        <f>$I$149*'TX SEDS'!S168</f>
        <v>26.827965722132642</v>
      </c>
      <c r="S414" s="26">
        <f>$I$149*'TX SEDS'!T168</f>
        <v>27.061308045175586</v>
      </c>
      <c r="T414" s="26">
        <f>$I$149*'TX SEDS'!U168</f>
        <v>27.29465036821853</v>
      </c>
      <c r="U414" s="26">
        <f>$I$149*'TX SEDS'!V168</f>
        <v>27.527992691261474</v>
      </c>
      <c r="V414" s="26">
        <f>$I$149*'TX SEDS'!W168</f>
        <v>27.761335014304418</v>
      </c>
      <c r="W414" s="26">
        <f>$I$149*'TX SEDS'!X168</f>
        <v>27.994677337347362</v>
      </c>
      <c r="X414" s="26">
        <f>$I$149*'TX SEDS'!Y168</f>
        <v>28.228019660390306</v>
      </c>
      <c r="Y414" s="26">
        <f>$I$149*'TX SEDS'!Z168</f>
        <v>28.46136198343325</v>
      </c>
      <c r="Z414" s="26">
        <f>$I$149*'TX SEDS'!AA168</f>
        <v>28.694704306476194</v>
      </c>
      <c r="AA414" s="26">
        <f>$I$149*'TX SEDS'!AB168</f>
        <v>28.928046629519141</v>
      </c>
      <c r="AB414" s="26">
        <f>$I$149*'TX SEDS'!AC168</f>
        <v>29.161388952562085</v>
      </c>
      <c r="AC414" s="26">
        <f>$I$149*'TX SEDS'!AD168</f>
        <v>29.394731275605029</v>
      </c>
      <c r="AD414" s="26">
        <f>$I$149*'TX SEDS'!AE168</f>
        <v>29.628073598647973</v>
      </c>
      <c r="AE414" s="26">
        <f>$I$149*'TX SEDS'!AF168</f>
        <v>29.861415921690917</v>
      </c>
      <c r="AF414" s="26">
        <f>$I$149*'TX SEDS'!AG168</f>
        <v>30.094758244733864</v>
      </c>
      <c r="AG414" s="26">
        <f>$I$149*'TX SEDS'!AH168</f>
        <v>30.328100567776808</v>
      </c>
      <c r="AH414" s="26">
        <f>$I$149*'TX SEDS'!AI168</f>
        <v>30.561442890819752</v>
      </c>
      <c r="AI414" s="26">
        <f>$I$149*'TX SEDS'!AJ168</f>
        <v>30.79478521386272</v>
      </c>
    </row>
    <row r="415" spans="1:35">
      <c r="A415" s="26" t="s">
        <v>796</v>
      </c>
      <c r="B415" s="26">
        <f>0</f>
        <v>0</v>
      </c>
      <c r="C415" s="26">
        <f>0</f>
        <v>0</v>
      </c>
      <c r="D415" s="26">
        <f>0</f>
        <v>0</v>
      </c>
      <c r="E415" s="26">
        <f>0</f>
        <v>0</v>
      </c>
      <c r="F415" s="26">
        <f>0</f>
        <v>0</v>
      </c>
      <c r="G415" s="26">
        <f>0</f>
        <v>0</v>
      </c>
      <c r="H415" s="26">
        <f>0</f>
        <v>0</v>
      </c>
      <c r="I415" s="26">
        <f>0</f>
        <v>0</v>
      </c>
      <c r="J415" s="26">
        <f>0</f>
        <v>0</v>
      </c>
      <c r="K415" s="26">
        <f>0</f>
        <v>0</v>
      </c>
      <c r="L415" s="26">
        <f>0</f>
        <v>0</v>
      </c>
      <c r="M415" s="26">
        <f>0</f>
        <v>0</v>
      </c>
      <c r="N415" s="26">
        <f>0</f>
        <v>0</v>
      </c>
      <c r="O415" s="26">
        <f>0</f>
        <v>0</v>
      </c>
      <c r="P415" s="26">
        <f>0</f>
        <v>0</v>
      </c>
      <c r="Q415" s="26">
        <f>0</f>
        <v>0</v>
      </c>
      <c r="R415" s="26">
        <f>0</f>
        <v>0</v>
      </c>
      <c r="S415" s="26">
        <f>0</f>
        <v>0</v>
      </c>
      <c r="T415" s="26">
        <f>0</f>
        <v>0</v>
      </c>
      <c r="U415" s="26">
        <f>0</f>
        <v>0</v>
      </c>
      <c r="V415" s="26">
        <f>0</f>
        <v>0</v>
      </c>
      <c r="W415" s="26">
        <f>0</f>
        <v>0</v>
      </c>
      <c r="X415" s="26">
        <f>0</f>
        <v>0</v>
      </c>
      <c r="Y415" s="26">
        <f>0</f>
        <v>0</v>
      </c>
      <c r="Z415" s="26">
        <f>0</f>
        <v>0</v>
      </c>
      <c r="AA415" s="26">
        <f>0</f>
        <v>0</v>
      </c>
      <c r="AB415" s="26">
        <f>0</f>
        <v>0</v>
      </c>
      <c r="AC415" s="26">
        <f>0</f>
        <v>0</v>
      </c>
      <c r="AD415" s="26">
        <f>0</f>
        <v>0</v>
      </c>
      <c r="AE415" s="26">
        <f>0</f>
        <v>0</v>
      </c>
      <c r="AF415" s="26">
        <f>0</f>
        <v>0</v>
      </c>
      <c r="AG415" s="26">
        <f>0</f>
        <v>0</v>
      </c>
      <c r="AH415" s="26">
        <f>0</f>
        <v>0</v>
      </c>
      <c r="AI415" s="26">
        <f>0</f>
        <v>0</v>
      </c>
    </row>
    <row r="416" spans="1:35">
      <c r="A416" s="26" t="s">
        <v>1010</v>
      </c>
      <c r="B416" s="26">
        <f>0</f>
        <v>0</v>
      </c>
      <c r="C416" s="26">
        <f>0</f>
        <v>0</v>
      </c>
      <c r="D416" s="26">
        <f>0</f>
        <v>0</v>
      </c>
      <c r="E416" s="26">
        <f>0</f>
        <v>0</v>
      </c>
      <c r="F416" s="26">
        <f>0</f>
        <v>0</v>
      </c>
      <c r="G416" s="26">
        <f>0</f>
        <v>0</v>
      </c>
      <c r="H416" s="26">
        <f>0</f>
        <v>0</v>
      </c>
      <c r="I416" s="26">
        <f>0</f>
        <v>0</v>
      </c>
      <c r="J416" s="26">
        <f>0</f>
        <v>0</v>
      </c>
      <c r="K416" s="26">
        <f>0</f>
        <v>0</v>
      </c>
      <c r="L416" s="26">
        <f>0</f>
        <v>0</v>
      </c>
      <c r="M416" s="26">
        <f>0</f>
        <v>0</v>
      </c>
      <c r="N416" s="26">
        <f>0</f>
        <v>0</v>
      </c>
      <c r="O416" s="26">
        <f>0</f>
        <v>0</v>
      </c>
      <c r="P416" s="26">
        <f>0</f>
        <v>0</v>
      </c>
      <c r="Q416" s="26">
        <f>0</f>
        <v>0</v>
      </c>
      <c r="R416" s="26">
        <f>0</f>
        <v>0</v>
      </c>
      <c r="S416" s="26">
        <f>0</f>
        <v>0</v>
      </c>
      <c r="T416" s="26">
        <f>0</f>
        <v>0</v>
      </c>
      <c r="U416" s="26">
        <f>0</f>
        <v>0</v>
      </c>
      <c r="V416" s="26">
        <f>0</f>
        <v>0</v>
      </c>
      <c r="W416" s="26">
        <f>0</f>
        <v>0</v>
      </c>
      <c r="X416" s="26">
        <f>0</f>
        <v>0</v>
      </c>
      <c r="Y416" s="26">
        <f>0</f>
        <v>0</v>
      </c>
      <c r="Z416" s="26">
        <f>0</f>
        <v>0</v>
      </c>
      <c r="AA416" s="26">
        <f>0</f>
        <v>0</v>
      </c>
      <c r="AB416" s="26">
        <f>0</f>
        <v>0</v>
      </c>
      <c r="AC416" s="26">
        <f>0</f>
        <v>0</v>
      </c>
      <c r="AD416" s="26">
        <f>0</f>
        <v>0</v>
      </c>
      <c r="AE416" s="26">
        <f>0</f>
        <v>0</v>
      </c>
      <c r="AF416" s="26">
        <f>0</f>
        <v>0</v>
      </c>
      <c r="AG416" s="26">
        <f>0</f>
        <v>0</v>
      </c>
      <c r="AH416" s="26">
        <f>0</f>
        <v>0</v>
      </c>
      <c r="AI416" s="26">
        <f>0</f>
        <v>0</v>
      </c>
    </row>
    <row r="417" spans="1:39">
      <c r="A417" s="26" t="s">
        <v>339</v>
      </c>
      <c r="B417" s="26">
        <v>0</v>
      </c>
      <c r="C417" s="26">
        <f>B417</f>
        <v>0</v>
      </c>
      <c r="D417" s="26">
        <f t="shared" ref="D417:F417" si="155">C417</f>
        <v>0</v>
      </c>
      <c r="E417" s="26">
        <f t="shared" si="155"/>
        <v>0</v>
      </c>
      <c r="F417" s="26">
        <f t="shared" si="155"/>
        <v>0</v>
      </c>
      <c r="G417" s="26">
        <f t="shared" ref="G417:AI417" si="156">F417</f>
        <v>0</v>
      </c>
      <c r="H417" s="26">
        <f t="shared" si="156"/>
        <v>0</v>
      </c>
      <c r="I417" s="26">
        <f t="shared" si="156"/>
        <v>0</v>
      </c>
      <c r="J417" s="26">
        <f t="shared" si="156"/>
        <v>0</v>
      </c>
      <c r="K417" s="26">
        <f t="shared" si="156"/>
        <v>0</v>
      </c>
      <c r="L417" s="26">
        <f t="shared" si="156"/>
        <v>0</v>
      </c>
      <c r="M417" s="26">
        <f t="shared" si="156"/>
        <v>0</v>
      </c>
      <c r="N417" s="26">
        <f t="shared" si="156"/>
        <v>0</v>
      </c>
      <c r="O417" s="26">
        <f t="shared" si="156"/>
        <v>0</v>
      </c>
      <c r="P417" s="26">
        <f t="shared" si="156"/>
        <v>0</v>
      </c>
      <c r="Q417" s="26">
        <f t="shared" si="156"/>
        <v>0</v>
      </c>
      <c r="R417" s="26">
        <f t="shared" si="156"/>
        <v>0</v>
      </c>
      <c r="S417" s="26">
        <f t="shared" si="156"/>
        <v>0</v>
      </c>
      <c r="T417" s="26">
        <f t="shared" si="156"/>
        <v>0</v>
      </c>
      <c r="U417" s="26">
        <f t="shared" si="156"/>
        <v>0</v>
      </c>
      <c r="V417" s="26">
        <f t="shared" si="156"/>
        <v>0</v>
      </c>
      <c r="W417" s="26">
        <f t="shared" si="156"/>
        <v>0</v>
      </c>
      <c r="X417" s="26">
        <f t="shared" si="156"/>
        <v>0</v>
      </c>
      <c r="Y417" s="26">
        <f t="shared" si="156"/>
        <v>0</v>
      </c>
      <c r="Z417" s="26">
        <f t="shared" si="156"/>
        <v>0</v>
      </c>
      <c r="AA417" s="26">
        <f t="shared" si="156"/>
        <v>0</v>
      </c>
      <c r="AB417" s="26">
        <f t="shared" si="156"/>
        <v>0</v>
      </c>
      <c r="AC417" s="26">
        <f t="shared" si="156"/>
        <v>0</v>
      </c>
      <c r="AD417" s="26">
        <f t="shared" si="156"/>
        <v>0</v>
      </c>
      <c r="AE417" s="26">
        <f t="shared" si="156"/>
        <v>0</v>
      </c>
      <c r="AF417" s="26">
        <f t="shared" si="156"/>
        <v>0</v>
      </c>
      <c r="AG417" s="26">
        <f t="shared" si="156"/>
        <v>0</v>
      </c>
      <c r="AH417" s="26">
        <f t="shared" si="156"/>
        <v>0</v>
      </c>
      <c r="AI417" s="26">
        <f t="shared" si="156"/>
        <v>0</v>
      </c>
    </row>
    <row r="418" spans="1:39">
      <c r="A418" s="26" t="s">
        <v>1011</v>
      </c>
      <c r="B418" s="26">
        <f>$I$138*'TX SEDS'!C187</f>
        <v>156.55265010854836</v>
      </c>
      <c r="C418" s="26">
        <f>$I$138*'TX SEDS'!D187</f>
        <v>158.46749262847845</v>
      </c>
      <c r="D418" s="26">
        <f>$I$138*'TX SEDS'!E187</f>
        <v>160.38233514840852</v>
      </c>
      <c r="E418" s="26">
        <f>$I$138*'TX SEDS'!F187</f>
        <v>162.29717766833861</v>
      </c>
      <c r="F418" s="26">
        <f>$I$138*'TX SEDS'!G187</f>
        <v>164.2120201882687</v>
      </c>
      <c r="G418" s="26">
        <f>$I$138*'TX SEDS'!H187</f>
        <v>166.12686270819876</v>
      </c>
      <c r="H418" s="26">
        <f>$I$138*'TX SEDS'!I187</f>
        <v>168.04170522812885</v>
      </c>
      <c r="I418" s="26">
        <f>$I$138*'TX SEDS'!J187</f>
        <v>169.95654774805891</v>
      </c>
      <c r="J418" s="26">
        <f>$I$138*'TX SEDS'!K187</f>
        <v>171.871390267989</v>
      </c>
      <c r="K418" s="26">
        <f>$I$138*'TX SEDS'!L187</f>
        <v>173.78623278791909</v>
      </c>
      <c r="L418" s="26">
        <f>$I$138*'TX SEDS'!M187</f>
        <v>175.70107530784915</v>
      </c>
      <c r="M418" s="26">
        <f>$I$138*'TX SEDS'!N187</f>
        <v>177.61591782777924</v>
      </c>
      <c r="N418" s="26">
        <f>$I$138*'TX SEDS'!O187</f>
        <v>179.53076034770933</v>
      </c>
      <c r="O418" s="26">
        <f>$I$138*'TX SEDS'!P187</f>
        <v>181.44560286763939</v>
      </c>
      <c r="P418" s="26">
        <f>$I$138*'TX SEDS'!Q187</f>
        <v>183.36044538756948</v>
      </c>
      <c r="Q418" s="26">
        <f>$I$138*'TX SEDS'!R187</f>
        <v>185.27528790749955</v>
      </c>
      <c r="R418" s="26">
        <f>$I$138*'TX SEDS'!S187</f>
        <v>187.19013042742964</v>
      </c>
      <c r="S418" s="26">
        <f>$I$138*'TX SEDS'!T187</f>
        <v>189.10497294735973</v>
      </c>
      <c r="T418" s="26">
        <f>$I$138*'TX SEDS'!U187</f>
        <v>191.01981546728979</v>
      </c>
      <c r="U418" s="26">
        <f>$I$138*'TX SEDS'!V187</f>
        <v>192.93465798721988</v>
      </c>
      <c r="V418" s="26">
        <f>$I$138*'TX SEDS'!W187</f>
        <v>194.84950050714997</v>
      </c>
      <c r="W418" s="26">
        <f>$I$138*'TX SEDS'!X187</f>
        <v>196.76434302708003</v>
      </c>
      <c r="X418" s="26">
        <f>$I$138*'TX SEDS'!Y187</f>
        <v>198.67918554701012</v>
      </c>
      <c r="Y418" s="26">
        <f>$I$138*'TX SEDS'!Z187</f>
        <v>200.59402806694018</v>
      </c>
      <c r="Z418" s="26">
        <f>$I$138*'TX SEDS'!AA187</f>
        <v>202.50887058687027</v>
      </c>
      <c r="AA418" s="26">
        <f>$I$138*'TX SEDS'!AB187</f>
        <v>204.42371310680036</v>
      </c>
      <c r="AB418" s="26">
        <f>$I$138*'TX SEDS'!AC187</f>
        <v>206.33855562673043</v>
      </c>
      <c r="AC418" s="26">
        <f>$I$138*'TX SEDS'!AD187</f>
        <v>208.25339814666052</v>
      </c>
      <c r="AD418" s="26">
        <f>$I$138*'TX SEDS'!AE187</f>
        <v>210.16824066659061</v>
      </c>
      <c r="AE418" s="26">
        <f>$I$138*'TX SEDS'!AF187</f>
        <v>212.08308318652067</v>
      </c>
      <c r="AF418" s="26">
        <f>$I$138*'TX SEDS'!AG187</f>
        <v>213.99792570645076</v>
      </c>
      <c r="AG418" s="26">
        <f>$I$138*'TX SEDS'!AH187</f>
        <v>215.91276822638082</v>
      </c>
      <c r="AH418" s="26">
        <f>$I$138*'TX SEDS'!AI187</f>
        <v>217.82761074631091</v>
      </c>
      <c r="AI418" s="26">
        <f>$I$138*'TX SEDS'!AJ187</f>
        <v>219.74245326624109</v>
      </c>
    </row>
    <row r="419" spans="1:39">
      <c r="A419" s="26" t="s">
        <v>1012</v>
      </c>
      <c r="B419" s="26">
        <v>0</v>
      </c>
      <c r="C419" s="26">
        <v>0</v>
      </c>
      <c r="D419" s="26">
        <v>0</v>
      </c>
      <c r="E419" s="26">
        <v>0</v>
      </c>
      <c r="F419" s="26">
        <v>0</v>
      </c>
      <c r="G419" s="26">
        <v>0</v>
      </c>
      <c r="H419" s="26">
        <v>0</v>
      </c>
      <c r="I419" s="26">
        <v>0</v>
      </c>
      <c r="J419" s="26">
        <v>0</v>
      </c>
      <c r="K419" s="26">
        <v>0</v>
      </c>
      <c r="L419" s="26">
        <v>0</v>
      </c>
      <c r="M419" s="26">
        <v>0</v>
      </c>
      <c r="N419" s="26">
        <v>0</v>
      </c>
      <c r="O419" s="26">
        <v>0</v>
      </c>
      <c r="P419" s="26">
        <v>0</v>
      </c>
      <c r="Q419" s="26">
        <v>0</v>
      </c>
      <c r="R419" s="26">
        <v>0</v>
      </c>
      <c r="S419" s="26">
        <v>0</v>
      </c>
      <c r="T419" s="26">
        <v>0</v>
      </c>
      <c r="U419" s="26">
        <v>0</v>
      </c>
      <c r="V419" s="26">
        <v>0</v>
      </c>
      <c r="W419" s="26">
        <v>0</v>
      </c>
      <c r="X419" s="26">
        <v>0</v>
      </c>
      <c r="Y419" s="26">
        <v>0</v>
      </c>
      <c r="Z419" s="26">
        <v>0</v>
      </c>
      <c r="AA419" s="26">
        <v>0</v>
      </c>
      <c r="AB419" s="26">
        <v>0</v>
      </c>
      <c r="AC419" s="26">
        <v>0</v>
      </c>
      <c r="AD419" s="26">
        <v>0</v>
      </c>
      <c r="AE419" s="26">
        <v>0</v>
      </c>
      <c r="AF419" s="26">
        <v>0</v>
      </c>
      <c r="AG419" s="26">
        <v>0</v>
      </c>
      <c r="AH419" s="26">
        <v>0</v>
      </c>
      <c r="AI419" s="26">
        <v>0</v>
      </c>
    </row>
    <row r="420" spans="1:39">
      <c r="A420" s="26" t="s">
        <v>323</v>
      </c>
      <c r="B420" s="26">
        <v>0</v>
      </c>
      <c r="C420" s="26">
        <v>0</v>
      </c>
      <c r="D420" s="26">
        <v>0</v>
      </c>
      <c r="E420" s="26">
        <v>0</v>
      </c>
      <c r="F420" s="26">
        <v>0</v>
      </c>
      <c r="G420" s="26">
        <v>0</v>
      </c>
      <c r="H420" s="26">
        <v>0</v>
      </c>
      <c r="I420" s="26">
        <v>0</v>
      </c>
      <c r="J420" s="26">
        <v>0</v>
      </c>
      <c r="K420" s="26">
        <v>0</v>
      </c>
      <c r="L420" s="26">
        <v>0</v>
      </c>
      <c r="M420" s="26">
        <v>0</v>
      </c>
      <c r="N420" s="26">
        <v>0</v>
      </c>
      <c r="O420" s="26">
        <v>0</v>
      </c>
      <c r="P420" s="26">
        <v>0</v>
      </c>
      <c r="Q420" s="26">
        <v>0</v>
      </c>
      <c r="R420" s="26">
        <v>0</v>
      </c>
      <c r="S420" s="26">
        <v>0</v>
      </c>
      <c r="T420" s="26">
        <v>0</v>
      </c>
      <c r="U420" s="26">
        <v>0</v>
      </c>
      <c r="V420" s="26">
        <v>0</v>
      </c>
      <c r="W420" s="26">
        <v>0</v>
      </c>
      <c r="X420" s="26">
        <v>0</v>
      </c>
      <c r="Y420" s="26">
        <v>0</v>
      </c>
      <c r="Z420" s="26">
        <v>0</v>
      </c>
      <c r="AA420" s="26">
        <v>0</v>
      </c>
      <c r="AB420" s="26">
        <v>0</v>
      </c>
      <c r="AC420" s="26">
        <v>0</v>
      </c>
      <c r="AD420" s="26">
        <v>0</v>
      </c>
      <c r="AE420" s="26">
        <v>0</v>
      </c>
      <c r="AF420" s="26">
        <v>0</v>
      </c>
      <c r="AG420" s="26">
        <v>0</v>
      </c>
      <c r="AH420" s="26">
        <v>0</v>
      </c>
      <c r="AI420" s="26">
        <v>0</v>
      </c>
    </row>
    <row r="421" spans="1:39">
      <c r="A421" s="26" t="s">
        <v>342</v>
      </c>
      <c r="B421" s="26">
        <f>0</f>
        <v>0</v>
      </c>
      <c r="C421" s="26">
        <f>0</f>
        <v>0</v>
      </c>
      <c r="D421" s="26">
        <f>0</f>
        <v>0</v>
      </c>
      <c r="E421" s="26">
        <f>0</f>
        <v>0</v>
      </c>
      <c r="F421" s="26">
        <f>0</f>
        <v>0</v>
      </c>
      <c r="G421" s="26">
        <f>0</f>
        <v>0</v>
      </c>
      <c r="H421" s="26">
        <f>0</f>
        <v>0</v>
      </c>
      <c r="I421" s="26">
        <f>0</f>
        <v>0</v>
      </c>
      <c r="J421" s="26">
        <f>0</f>
        <v>0</v>
      </c>
      <c r="K421" s="26">
        <f>0</f>
        <v>0</v>
      </c>
      <c r="L421" s="26">
        <f>0</f>
        <v>0</v>
      </c>
      <c r="M421" s="26">
        <f>0</f>
        <v>0</v>
      </c>
      <c r="N421" s="26">
        <f>0</f>
        <v>0</v>
      </c>
      <c r="O421" s="26">
        <f>0</f>
        <v>0</v>
      </c>
      <c r="P421" s="26">
        <f>0</f>
        <v>0</v>
      </c>
      <c r="Q421" s="26">
        <f>0</f>
        <v>0</v>
      </c>
      <c r="R421" s="26">
        <f>0</f>
        <v>0</v>
      </c>
      <c r="S421" s="26">
        <f>0</f>
        <v>0</v>
      </c>
      <c r="T421" s="26">
        <f>0</f>
        <v>0</v>
      </c>
      <c r="U421" s="26">
        <f>0</f>
        <v>0</v>
      </c>
      <c r="V421" s="26">
        <f>0</f>
        <v>0</v>
      </c>
      <c r="W421" s="26">
        <f>0</f>
        <v>0</v>
      </c>
      <c r="X421" s="26">
        <f>0</f>
        <v>0</v>
      </c>
      <c r="Y421" s="26">
        <f>0</f>
        <v>0</v>
      </c>
      <c r="Z421" s="26">
        <f>0</f>
        <v>0</v>
      </c>
      <c r="AA421" s="26">
        <f>0</f>
        <v>0</v>
      </c>
      <c r="AB421" s="26">
        <f>0</f>
        <v>0</v>
      </c>
      <c r="AC421" s="26">
        <f>0</f>
        <v>0</v>
      </c>
      <c r="AD421" s="26">
        <f>0</f>
        <v>0</v>
      </c>
      <c r="AE421" s="26">
        <f>0</f>
        <v>0</v>
      </c>
      <c r="AF421" s="26">
        <f>0</f>
        <v>0</v>
      </c>
      <c r="AG421" s="26">
        <f>0</f>
        <v>0</v>
      </c>
      <c r="AH421" s="26">
        <f>0</f>
        <v>0</v>
      </c>
      <c r="AI421" s="26">
        <f>0</f>
        <v>0</v>
      </c>
    </row>
    <row r="422" spans="1:39">
      <c r="A422" s="26" t="s">
        <v>1013</v>
      </c>
      <c r="B422" s="26">
        <f>$I$142*'TX SEDS'!C201</f>
        <v>13.719324630713068</v>
      </c>
      <c r="C422" s="26">
        <f>$I$142*'TX SEDS'!D201</f>
        <v>13.990807967106793</v>
      </c>
      <c r="D422" s="26">
        <f>$I$142*'TX SEDS'!E201</f>
        <v>14.262291303500517</v>
      </c>
      <c r="E422" s="26">
        <f>$I$142*'TX SEDS'!F201</f>
        <v>14.533774639894242</v>
      </c>
      <c r="F422" s="26">
        <f>$I$142*'TX SEDS'!G201</f>
        <v>14.805257976287967</v>
      </c>
      <c r="G422" s="26">
        <f>$I$142*'TX SEDS'!H201</f>
        <v>15.07674131268169</v>
      </c>
      <c r="H422" s="26">
        <f>$I$142*'TX SEDS'!I201</f>
        <v>15.348224649075416</v>
      </c>
      <c r="I422" s="26">
        <f>$I$142*'TX SEDS'!J201</f>
        <v>15.619707985469139</v>
      </c>
      <c r="J422" s="26">
        <f>$I$142*'TX SEDS'!K201</f>
        <v>15.891191321862864</v>
      </c>
      <c r="K422" s="26">
        <f>$I$142*'TX SEDS'!L201</f>
        <v>16.162674658256588</v>
      </c>
      <c r="L422" s="26">
        <f>$I$142*'TX SEDS'!M201</f>
        <v>16.434157994650313</v>
      </c>
      <c r="M422" s="26">
        <f>$I$142*'TX SEDS'!N201</f>
        <v>16.705641331044038</v>
      </c>
      <c r="N422" s="26">
        <f>$I$142*'TX SEDS'!O201</f>
        <v>16.97712466743776</v>
      </c>
      <c r="O422" s="26">
        <f>$I$142*'TX SEDS'!P201</f>
        <v>17.248608003831485</v>
      </c>
      <c r="P422" s="26">
        <f>$I$142*'TX SEDS'!Q201</f>
        <v>17.520091340225211</v>
      </c>
      <c r="Q422" s="26">
        <f>$I$142*'TX SEDS'!R201</f>
        <v>17.791574676618936</v>
      </c>
      <c r="R422" s="26">
        <f>$I$142*'TX SEDS'!S201</f>
        <v>18.063058013012661</v>
      </c>
      <c r="S422" s="26">
        <f>$I$142*'TX SEDS'!T201</f>
        <v>18.334541349406383</v>
      </c>
      <c r="T422" s="26">
        <f>$I$142*'TX SEDS'!U201</f>
        <v>18.606024685800108</v>
      </c>
      <c r="U422" s="26">
        <f>$I$142*'TX SEDS'!V201</f>
        <v>18.877508022193833</v>
      </c>
      <c r="V422" s="26">
        <f>$I$142*'TX SEDS'!W201</f>
        <v>19.148991358587558</v>
      </c>
      <c r="W422" s="26">
        <f>$I$142*'TX SEDS'!X201</f>
        <v>19.42047469498128</v>
      </c>
      <c r="X422" s="26">
        <f>$I$142*'TX SEDS'!Y201</f>
        <v>19.691958031375005</v>
      </c>
      <c r="Y422" s="26">
        <f>$I$142*'TX SEDS'!Z201</f>
        <v>19.963441367768731</v>
      </c>
      <c r="Z422" s="26">
        <f>$I$142*'TX SEDS'!AA201</f>
        <v>20.234924704162456</v>
      </c>
      <c r="AA422" s="26">
        <f>$I$142*'TX SEDS'!AB201</f>
        <v>20.506408040556177</v>
      </c>
      <c r="AB422" s="26">
        <f>$I$142*'TX SEDS'!AC201</f>
        <v>20.777891376949903</v>
      </c>
      <c r="AC422" s="26">
        <f>$I$142*'TX SEDS'!AD201</f>
        <v>21.049374713343628</v>
      </c>
      <c r="AD422" s="26">
        <f>$I$142*'TX SEDS'!AE201</f>
        <v>21.320858049737353</v>
      </c>
      <c r="AE422" s="26">
        <f>$I$142*'TX SEDS'!AF201</f>
        <v>21.592341386131078</v>
      </c>
      <c r="AF422" s="26">
        <f>$I$142*'TX SEDS'!AG201</f>
        <v>21.8638247225248</v>
      </c>
      <c r="AG422" s="26">
        <f>$I$142*'TX SEDS'!AH201</f>
        <v>22.135308058918525</v>
      </c>
      <c r="AH422" s="26">
        <f>$I$142*'TX SEDS'!AI201</f>
        <v>22.406791395312247</v>
      </c>
      <c r="AI422" s="26">
        <f>$I$142*'TX SEDS'!AJ201</f>
        <v>22.678274731705937</v>
      </c>
      <c r="AM422" s="319"/>
    </row>
    <row r="423" spans="1:39">
      <c r="A423" s="26" t="s">
        <v>1014</v>
      </c>
      <c r="B423" s="26">
        <v>0</v>
      </c>
      <c r="C423" s="26">
        <f t="shared" ref="C423:AI423" si="157">$B$423</f>
        <v>0</v>
      </c>
      <c r="D423" s="26">
        <f t="shared" si="157"/>
        <v>0</v>
      </c>
      <c r="E423" s="26">
        <f t="shared" si="157"/>
        <v>0</v>
      </c>
      <c r="F423" s="26">
        <f t="shared" si="157"/>
        <v>0</v>
      </c>
      <c r="G423" s="26">
        <f t="shared" si="157"/>
        <v>0</v>
      </c>
      <c r="H423" s="26">
        <f t="shared" si="157"/>
        <v>0</v>
      </c>
      <c r="I423" s="26">
        <f t="shared" si="157"/>
        <v>0</v>
      </c>
      <c r="J423" s="26">
        <f t="shared" si="157"/>
        <v>0</v>
      </c>
      <c r="K423" s="26">
        <f t="shared" si="157"/>
        <v>0</v>
      </c>
      <c r="L423" s="26">
        <f t="shared" si="157"/>
        <v>0</v>
      </c>
      <c r="M423" s="26">
        <f t="shared" si="157"/>
        <v>0</v>
      </c>
      <c r="N423" s="26">
        <f t="shared" si="157"/>
        <v>0</v>
      </c>
      <c r="O423" s="26">
        <f t="shared" si="157"/>
        <v>0</v>
      </c>
      <c r="P423" s="26">
        <f t="shared" si="157"/>
        <v>0</v>
      </c>
      <c r="Q423" s="26">
        <f t="shared" si="157"/>
        <v>0</v>
      </c>
      <c r="R423" s="26">
        <f t="shared" si="157"/>
        <v>0</v>
      </c>
      <c r="S423" s="26">
        <f t="shared" si="157"/>
        <v>0</v>
      </c>
      <c r="T423" s="26">
        <f t="shared" si="157"/>
        <v>0</v>
      </c>
      <c r="U423" s="26">
        <f t="shared" si="157"/>
        <v>0</v>
      </c>
      <c r="V423" s="26">
        <f t="shared" si="157"/>
        <v>0</v>
      </c>
      <c r="W423" s="26">
        <f t="shared" si="157"/>
        <v>0</v>
      </c>
      <c r="X423" s="26">
        <f t="shared" si="157"/>
        <v>0</v>
      </c>
      <c r="Y423" s="26">
        <f t="shared" si="157"/>
        <v>0</v>
      </c>
      <c r="Z423" s="26">
        <f t="shared" si="157"/>
        <v>0</v>
      </c>
      <c r="AA423" s="26">
        <f t="shared" si="157"/>
        <v>0</v>
      </c>
      <c r="AB423" s="26">
        <f t="shared" si="157"/>
        <v>0</v>
      </c>
      <c r="AC423" s="26">
        <f t="shared" si="157"/>
        <v>0</v>
      </c>
      <c r="AD423" s="26">
        <f t="shared" si="157"/>
        <v>0</v>
      </c>
      <c r="AE423" s="26">
        <f t="shared" si="157"/>
        <v>0</v>
      </c>
      <c r="AF423" s="26">
        <f t="shared" si="157"/>
        <v>0</v>
      </c>
      <c r="AG423" s="26">
        <f t="shared" si="157"/>
        <v>0</v>
      </c>
      <c r="AH423" s="26">
        <f t="shared" si="157"/>
        <v>0</v>
      </c>
      <c r="AI423" s="26">
        <f t="shared" si="157"/>
        <v>0</v>
      </c>
    </row>
    <row r="424" spans="1:39">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row>
    <row r="425" spans="1:39">
      <c r="A425" s="41" t="s">
        <v>1026</v>
      </c>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row>
    <row r="426" spans="1:39">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row>
    <row r="427" spans="1:39">
      <c r="A427" s="26" t="s">
        <v>813</v>
      </c>
      <c r="B427" s="38">
        <f>'TX SEDS'!C168-SUM(B414,B336,B349,B362,B375,B388,B401)</f>
        <v>148.24434715248236</v>
      </c>
      <c r="C427" s="38">
        <f>'TX SEDS'!D168-SUM(C414,C336,C349,C362,C375,C388,C401)</f>
        <v>254.77785425847887</v>
      </c>
      <c r="D427" s="38">
        <f>'TX SEDS'!E168-SUM(D414,D336,D349,D362,D375,D388,D401)</f>
        <v>257.36562681032729</v>
      </c>
      <c r="E427" s="38">
        <f>'TX SEDS'!F168-SUM(E414,E336,E349,E362,E375,E388,E401)</f>
        <v>260.02545244038919</v>
      </c>
      <c r="F427" s="38">
        <f>'TX SEDS'!G168-SUM(F414,F336,F349,F362,F375,F388,F401)</f>
        <v>262.72886230315737</v>
      </c>
      <c r="G427" s="38">
        <f>'TX SEDS'!H168-SUM(G414,G336,G349,G362,G375,G388,G401)</f>
        <v>265.4032934637209</v>
      </c>
      <c r="H427" s="38">
        <f>'TX SEDS'!I168-SUM(H414,H336,H349,H362,H375,H388,H401)</f>
        <v>268.07131523939233</v>
      </c>
      <c r="I427" s="38">
        <f>'TX SEDS'!J168-SUM(I414,I336,I349,I362,I375,I388,I401)</f>
        <v>270.74999275806726</v>
      </c>
      <c r="J427" s="38">
        <f>'TX SEDS'!K168-SUM(J414,J336,J349,J362,J375,J388,J401)</f>
        <v>273.43806446198585</v>
      </c>
      <c r="K427" s="38">
        <f>'TX SEDS'!L168-SUM(K414,K336,K349,K362,K375,K388,K401)</f>
        <v>276.13123512271932</v>
      </c>
      <c r="L427" s="38">
        <f>'TX SEDS'!M168-SUM(L414,L336,L349,L362,L375,L388,L401)</f>
        <v>278.82582168084883</v>
      </c>
      <c r="M427" s="38">
        <f>'TX SEDS'!N168-SUM(M414,M336,M349,M362,M375,M388,M401)</f>
        <v>281.52195509915276</v>
      </c>
      <c r="N427" s="38">
        <f>'TX SEDS'!O168-SUM(N414,N336,N349,N362,N375,N388,N401)</f>
        <v>284.2201565250574</v>
      </c>
      <c r="O427" s="38">
        <f>'TX SEDS'!P168-SUM(O414,O336,O349,O362,O375,O388,O401)</f>
        <v>286.92019235915723</v>
      </c>
      <c r="P427" s="38">
        <f>'TX SEDS'!Q168-SUM(P414,P336,P349,P362,P375,P388,P401)</f>
        <v>289.62225145714081</v>
      </c>
      <c r="Q427" s="38">
        <f>'TX SEDS'!R168-SUM(Q414,Q336,Q349,Q362,Q375,Q388,Q401)</f>
        <v>292.32641714496896</v>
      </c>
      <c r="R427" s="38">
        <f>'TX SEDS'!S168-SUM(R414,R336,R349,R362,R375,R388,R401)</f>
        <v>295.03271179272355</v>
      </c>
      <c r="S427" s="38">
        <f>'TX SEDS'!T168-SUM(S414,S336,S349,S362,S375,S388,S401)</f>
        <v>297.74118730881713</v>
      </c>
      <c r="T427" s="38">
        <f>'TX SEDS'!U168-SUM(T414,T336,T349,T362,T375,T388,T401)</f>
        <v>300.45183744695134</v>
      </c>
      <c r="U427" s="38">
        <f>'TX SEDS'!V168-SUM(U414,U336,U349,U362,U375,U388,U401)</f>
        <v>303.07648194770934</v>
      </c>
      <c r="V427" s="38">
        <f>'TX SEDS'!W168-SUM(V414,V336,V349,V362,V375,V388,V401)</f>
        <v>305.70296652566333</v>
      </c>
      <c r="W427" s="38">
        <f>'TX SEDS'!X168-SUM(W414,W336,W349,W362,W375,W388,W401)</f>
        <v>308.33133712058088</v>
      </c>
      <c r="X427" s="38">
        <f>'TX SEDS'!Y168-SUM(X414,X336,X349,X362,X375,X388,X401)</f>
        <v>310.96154895056657</v>
      </c>
      <c r="Y427" s="38">
        <f>'TX SEDS'!Z168-SUM(Y414,Y336,Y349,Y362,Y375,Y388,Y401)</f>
        <v>313.59351220593942</v>
      </c>
      <c r="Z427" s="38">
        <f>'TX SEDS'!AA168-SUM(Z414,Z336,Z349,Z362,Z375,Z388,Z401)</f>
        <v>316.22704725026142</v>
      </c>
      <c r="AA427" s="38">
        <f>'TX SEDS'!AB168-SUM(AA414,AA336,AA349,AA362,AA375,AA388,AA401)</f>
        <v>318.86206426360616</v>
      </c>
      <c r="AB427" s="38">
        <f>'TX SEDS'!AC168-SUM(AB414,AB336,AB349,AB362,AB375,AB388,AB401)</f>
        <v>321.4984285280367</v>
      </c>
      <c r="AC427" s="38">
        <f>'TX SEDS'!AD168-SUM(AC414,AC336,AC349,AC362,AC375,AC388,AC401)</f>
        <v>324.1359604037001</v>
      </c>
      <c r="AD427" s="38">
        <f>'TX SEDS'!AE168-SUM(AD414,AD336,AD349,AD362,AD375,AD388,AD401)</f>
        <v>326.77443535614816</v>
      </c>
      <c r="AE427" s="38">
        <f>'TX SEDS'!AF168-SUM(AE414,AE336,AE349,AE362,AE375,AE388,AE401)</f>
        <v>329.41371865719861</v>
      </c>
      <c r="AF427" s="38">
        <f>'TX SEDS'!AG168-SUM(AF414,AF336,AF349,AF362,AF375,AF388,AF401)</f>
        <v>332.05354085731739</v>
      </c>
      <c r="AG427" s="38">
        <f>'TX SEDS'!AH168-SUM(AG414,AG336,AG349,AG362,AG375,AG388,AG401)</f>
        <v>334.69376722832226</v>
      </c>
      <c r="AH427" s="38">
        <f>'TX SEDS'!AI168-SUM(AH414,AH336,AH349,AH362,AH375,AH388,AH401)</f>
        <v>337.33421814402072</v>
      </c>
      <c r="AI427" s="38">
        <f>'TX SEDS'!AJ168-SUM(AI414,AI336,AI349,AI362,AI375,AI388,AI401)</f>
        <v>339.97475887623079</v>
      </c>
    </row>
    <row r="428" spans="1:39">
      <c r="A428" s="26" t="s">
        <v>796</v>
      </c>
      <c r="B428" s="38">
        <f>'TX SEDS'!C173-SUM(B415,B337,B350,B363,B376,B389,B402)</f>
        <v>3.2973112186598161</v>
      </c>
      <c r="C428" s="38">
        <f>'TX SEDS'!D173-SUM(C415,C337,C350,C363,C376,C389,C402)</f>
        <v>3.2899918396210026</v>
      </c>
      <c r="D428" s="38">
        <f>'TX SEDS'!E173-SUM(D415,D337,D350,D363,D376,D389,D402)</f>
        <v>3.2826724605821909</v>
      </c>
      <c r="E428" s="38">
        <f>'TX SEDS'!F173-SUM(E415,E337,E350,E363,E376,E389,E402)</f>
        <v>3.2788987945709529</v>
      </c>
      <c r="F428" s="38">
        <f>'TX SEDS'!G173-SUM(F415,F337,F350,F363,F376,F389,F402)</f>
        <v>3.2778824699241884</v>
      </c>
      <c r="G428" s="38">
        <f>'TX SEDS'!H173-SUM(G415,G337,G350,G363,G376,G389,G402)</f>
        <v>3.2749880193125147</v>
      </c>
      <c r="H428" s="38">
        <f>'TX SEDS'!I173-SUM(H415,H337,H350,H363,H376,H389,H402)</f>
        <v>3.2716422091120538</v>
      </c>
      <c r="I428" s="38">
        <f>'TX SEDS'!J173-SUM(I415,I337,I350,I363,I376,I389,I402)</f>
        <v>3.2689153317324759</v>
      </c>
      <c r="J428" s="38">
        <f>'TX SEDS'!K173-SUM(J415,J337,J350,J363,J376,J389,J402)</f>
        <v>3.266715548337487</v>
      </c>
      <c r="K428" s="38">
        <f>'TX SEDS'!L173-SUM(K415,K337,K350,K363,K376,K389,K402)</f>
        <v>3.2647634251218793</v>
      </c>
      <c r="L428" s="38">
        <f>'TX SEDS'!M173-SUM(L415,L337,L350,L363,L376,L389,L402)</f>
        <v>3.2628328470361136</v>
      </c>
      <c r="M428" s="38">
        <f>'TX SEDS'!N173-SUM(M415,M337,M350,M363,M376,M389,M402)</f>
        <v>3.260906403874257</v>
      </c>
      <c r="N428" s="38">
        <f>'TX SEDS'!O173-SUM(N415,N337,N350,N363,N376,N389,N402)</f>
        <v>3.2590058583937243</v>
      </c>
      <c r="O428" s="38">
        <f>'TX SEDS'!P173-SUM(O415,O337,O350,O363,O376,O389,O402)</f>
        <v>3.2571048776580422</v>
      </c>
      <c r="P428" s="38">
        <f>'TX SEDS'!Q173-SUM(P415,P337,P350,P363,P376,P389,P402)</f>
        <v>3.2552097728668627</v>
      </c>
      <c r="Q428" s="38">
        <f>'TX SEDS'!R173-SUM(Q415,Q337,Q350,Q363,Q376,Q389,Q402)</f>
        <v>3.2533144069225948</v>
      </c>
      <c r="R428" s="38">
        <f>'TX SEDS'!S173-SUM(R415,R337,R350,R363,R376,R389,R402)</f>
        <v>3.2514230670884476</v>
      </c>
      <c r="S428" s="38">
        <f>'TX SEDS'!T173-SUM(S415,S337,S350,S363,S376,S389,S402)</f>
        <v>3.2495333376983506</v>
      </c>
      <c r="T428" s="38">
        <f>'TX SEDS'!U173-SUM(T415,T337,T350,T363,T376,T389,T402)</f>
        <v>3.2476448207114679</v>
      </c>
      <c r="U428" s="38">
        <f>'TX SEDS'!V173-SUM(U415,U337,U350,U363,U376,U389,U402)</f>
        <v>3.2401468783546239</v>
      </c>
      <c r="V428" s="38">
        <f>'TX SEDS'!W173-SUM(V415,V337,V350,V363,V376,V389,V402)</f>
        <v>3.2326374150116308</v>
      </c>
      <c r="W428" s="38">
        <f>'TX SEDS'!X173-SUM(W415,W337,W350,W363,W376,W389,W402)</f>
        <v>3.2251279433987907</v>
      </c>
      <c r="X428" s="38">
        <f>'TX SEDS'!Y173-SUM(X415,X337,X350,X363,X376,X389,X402)</f>
        <v>3.217618471568322</v>
      </c>
      <c r="Y428" s="38">
        <f>'TX SEDS'!Z173-SUM(Y415,Y337,Y350,Y363,Y376,Y389,Y402)</f>
        <v>3.2101089999554819</v>
      </c>
      <c r="Z428" s="38">
        <f>'TX SEDS'!AA173-SUM(Z415,Z337,Z350,Z363,Z376,Z389,Z402)</f>
        <v>3.2025995283426401</v>
      </c>
      <c r="AA428" s="38">
        <f>'TX SEDS'!AB173-SUM(AA415,AA337,AA350,AA363,AA376,AA389,AA402)</f>
        <v>3.1950900565121731</v>
      </c>
      <c r="AB428" s="38">
        <f>'TX SEDS'!AC173-SUM(AB415,AB337,AB350,AB363,AB376,AB389,AB402)</f>
        <v>3.187580584899333</v>
      </c>
      <c r="AC428" s="38">
        <f>'TX SEDS'!AD173-SUM(AC415,AC337,AC350,AC363,AC376,AC389,AC402)</f>
        <v>3.1800711130688644</v>
      </c>
      <c r="AD428" s="38">
        <f>'TX SEDS'!AE173-SUM(AD415,AD337,AD350,AD363,AD376,AD389,AD402)</f>
        <v>3.1725616414560243</v>
      </c>
      <c r="AE428" s="38">
        <f>'TX SEDS'!AF173-SUM(AE415,AE337,AE350,AE363,AE376,AE389,AE402)</f>
        <v>3.1650521698431842</v>
      </c>
      <c r="AF428" s="38">
        <f>'TX SEDS'!AG173-SUM(AF415,AF337,AF350,AF363,AF376,AF389,AF402)</f>
        <v>3.1575426982303423</v>
      </c>
      <c r="AG428" s="38">
        <f>'TX SEDS'!AH173-SUM(AG415,AG337,AG350,AG363,AG376,AG389,AG402)</f>
        <v>3.1500332263998754</v>
      </c>
      <c r="AH428" s="38">
        <f>'TX SEDS'!AI173-SUM(AH415,AH337,AH350,AH363,AH376,AH389,AH402)</f>
        <v>3.1425237547870353</v>
      </c>
      <c r="AI428" s="38">
        <f>'TX SEDS'!AJ173-SUM(AI415,AI337,AI350,AI363,AI376,AI389,AI402)</f>
        <v>3.1350142831741952</v>
      </c>
    </row>
    <row r="429" spans="1:39">
      <c r="A429" s="26" t="s">
        <v>1010</v>
      </c>
      <c r="B429" s="38">
        <f>('TX SEDS'!C177+'TX SEDS'!C179+'TX SEDS'!C207)-SUM(B416,B338,B351,B364,B377,B390,B403)</f>
        <v>282.05926722305412</v>
      </c>
      <c r="C429" s="38">
        <f>('TX SEDS'!D177+'TX SEDS'!D179+'TX SEDS'!D207)-SUM(C416,C338,C351,C364,C377,C390,C403)</f>
        <v>284.50164892269549</v>
      </c>
      <c r="D429" s="38">
        <f>('TX SEDS'!E177+'TX SEDS'!E179+'TX SEDS'!E207)-SUM(D416,D338,D351,D364,D377,D390,D403)</f>
        <v>286.94403062233732</v>
      </c>
      <c r="E429" s="38">
        <f>('TX SEDS'!F177+'TX SEDS'!F179+'TX SEDS'!F207)-SUM(E416,E338,E351,E364,E377,E390,E403)</f>
        <v>289.39008316304171</v>
      </c>
      <c r="F429" s="38">
        <f>('TX SEDS'!G177+'TX SEDS'!G179+'TX SEDS'!G207)-SUM(F416,F338,F351,F364,F377,F390,F403)</f>
        <v>291.83840443631198</v>
      </c>
      <c r="G429" s="38">
        <f>('TX SEDS'!H177+'TX SEDS'!H179+'TX SEDS'!H207)-SUM(G416,G338,G351,G364,G377,G390,G403)</f>
        <v>294.28518039292612</v>
      </c>
      <c r="H429" s="38">
        <f>('TX SEDS'!I177+'TX SEDS'!I179+'TX SEDS'!I207)-SUM(H416,H338,H351,H364,H377,H390,H403)</f>
        <v>296.73158497216536</v>
      </c>
      <c r="I429" s="38">
        <f>('TX SEDS'!J177+'TX SEDS'!J179+'TX SEDS'!J207)-SUM(I416,I338,I351,I364,I377,I390,I403)</f>
        <v>299.17849880755375</v>
      </c>
      <c r="J429" s="38">
        <f>('TX SEDS'!K177+'TX SEDS'!K179+'TX SEDS'!K207)-SUM(J416,J338,J351,J364,J377,J390,J403)</f>
        <v>301.62584633436109</v>
      </c>
      <c r="K429" s="38">
        <f>('TX SEDS'!L177+'TX SEDS'!L179+'TX SEDS'!L207)-SUM(K416,K338,K351,K364,K377,K390,K403)</f>
        <v>304.07339763525351</v>
      </c>
      <c r="L429" s="38">
        <f>('TX SEDS'!M177+'TX SEDS'!M179+'TX SEDS'!M207)-SUM(L416,L338,L351,L364,L377,L390,L403)</f>
        <v>306.52096666341731</v>
      </c>
      <c r="M429" s="38">
        <f>('TX SEDS'!N177+'TX SEDS'!N179+'TX SEDS'!N207)-SUM(M416,M338,M351,M364,M377,M390,M403)</f>
        <v>308.96853909378433</v>
      </c>
      <c r="N429" s="38">
        <f>('TX SEDS'!O177+'TX SEDS'!O179+'TX SEDS'!O207)-SUM(N416,N338,N351,N364,N377,N390,N403)</f>
        <v>311.41613283268907</v>
      </c>
      <c r="O429" s="38">
        <f>('TX SEDS'!P177+'TX SEDS'!P179+'TX SEDS'!P207)-SUM(O416,O338,O351,O364,O377,O390,O403)</f>
        <v>313.86372621346754</v>
      </c>
      <c r="P429" s="38">
        <f>('TX SEDS'!Q177+'TX SEDS'!Q179+'TX SEDS'!Q207)-SUM(P416,P338,P351,P364,P377,P390,P403)</f>
        <v>316.31132442895614</v>
      </c>
      <c r="Q429" s="38">
        <f>('TX SEDS'!R177+'TX SEDS'!R179+'TX SEDS'!R207)-SUM(Q416,Q338,Q351,Q364,Q377,Q390,Q403)</f>
        <v>318.75892242956888</v>
      </c>
      <c r="R429" s="38">
        <f>('TX SEDS'!S177+'TX SEDS'!S179+'TX SEDS'!S207)-SUM(R416,R338,R351,R364,R377,R390,R403)</f>
        <v>321.20652374285328</v>
      </c>
      <c r="S429" s="38">
        <f>('TX SEDS'!T177+'TX SEDS'!T179+'TX SEDS'!T207)-SUM(S416,S338,S351,S364,S377,S390,S403)</f>
        <v>323.65412638120551</v>
      </c>
      <c r="T429" s="38">
        <f>('TX SEDS'!U177+'TX SEDS'!U179+'TX SEDS'!U207)-SUM(T416,T338,T351,T364,T377,T390,T403)</f>
        <v>326.1017300171211</v>
      </c>
      <c r="U429" s="38">
        <f>('TX SEDS'!V177+'TX SEDS'!V179+'TX SEDS'!V207)-SUM(U416,U338,U351,U364,U377,U390,U403)</f>
        <v>328.54471823393169</v>
      </c>
      <c r="V429" s="38">
        <f>('TX SEDS'!W177+'TX SEDS'!W179+'TX SEDS'!W207)-SUM(V416,V338,V351,V364,V377,V390,V403)</f>
        <v>330.98769697130774</v>
      </c>
      <c r="W429" s="38">
        <f>('TX SEDS'!X177+'TX SEDS'!X179+'TX SEDS'!X207)-SUM(W416,W338,W351,W364,W377,W390,W403)</f>
        <v>333.43067570187895</v>
      </c>
      <c r="X429" s="38">
        <f>('TX SEDS'!Y177+'TX SEDS'!Y179+'TX SEDS'!Y207)-SUM(X416,X338,X351,X364,X377,X390,X403)</f>
        <v>335.87365443227145</v>
      </c>
      <c r="Y429" s="38">
        <f>('TX SEDS'!Z177+'TX SEDS'!Z179+'TX SEDS'!Z207)-SUM(Y416,Y338,Y351,Y364,Y377,Y390,Y403)</f>
        <v>338.31663316284312</v>
      </c>
      <c r="Z429" s="38">
        <f>('TX SEDS'!AA177+'TX SEDS'!AA179+'TX SEDS'!AA207)-SUM(Z416,Z338,Z351,Z364,Z377,Z390,Z403)</f>
        <v>340.75961189341388</v>
      </c>
      <c r="AA429" s="38">
        <f>('TX SEDS'!AB177+'TX SEDS'!AB179+'TX SEDS'!AB207)-SUM(AA416,AA338,AA351,AA364,AA377,AA390,AA403)</f>
        <v>343.20259062380637</v>
      </c>
      <c r="AB429" s="38">
        <f>('TX SEDS'!AC177+'TX SEDS'!AC179+'TX SEDS'!AC207)-SUM(AB416,AB338,AB351,AB364,AB377,AB390,AB403)</f>
        <v>345.64556935437804</v>
      </c>
      <c r="AC429" s="38">
        <f>('TX SEDS'!AD177+'TX SEDS'!AD179+'TX SEDS'!AD207)-SUM(AC416,AC338,AC351,AC364,AC377,AC390,AC403)</f>
        <v>348.08854808477008</v>
      </c>
      <c r="AD429" s="38">
        <f>('TX SEDS'!AE177+'TX SEDS'!AE179+'TX SEDS'!AE207)-SUM(AD416,AD338,AD351,AD364,AD377,AD390,AD403)</f>
        <v>350.53152681534266</v>
      </c>
      <c r="AE429" s="38">
        <f>('TX SEDS'!AF177+'TX SEDS'!AF179+'TX SEDS'!AF207)-SUM(AE416,AE338,AE351,AE364,AE377,AE390,AE403)</f>
        <v>352.97450554591342</v>
      </c>
      <c r="AF429" s="38">
        <f>('TX SEDS'!AG177+'TX SEDS'!AG179+'TX SEDS'!AG207)-SUM(AF416,AF338,AF351,AF364,AF377,AF390,AF403)</f>
        <v>355.41748427648463</v>
      </c>
      <c r="AG429" s="38">
        <f>('TX SEDS'!AH177+'TX SEDS'!AH179+'TX SEDS'!AH207)-SUM(AG416,AG338,AG351,AG364,AG377,AG390,AG403)</f>
        <v>357.86046300687804</v>
      </c>
      <c r="AH429" s="38">
        <f>('TX SEDS'!AI177+'TX SEDS'!AI179+'TX SEDS'!AI207)-SUM(AH416,AH338,AH351,AH364,AH377,AH390,AH403)</f>
        <v>360.30344173744925</v>
      </c>
      <c r="AI429" s="38">
        <f>('TX SEDS'!AJ177+'TX SEDS'!AJ179+'TX SEDS'!AJ207)-SUM(AI416,AI338,AI351,AI364,AI377,AI390,AI403)</f>
        <v>362.74642046802046</v>
      </c>
    </row>
    <row r="430" spans="1:39">
      <c r="A430" s="26" t="s">
        <v>339</v>
      </c>
      <c r="B430" s="26">
        <f>'TX SEDS'!C183-SUM(B417,B339,B352,B365,B378,B391,B404)</f>
        <v>67.797829723459856</v>
      </c>
      <c r="C430" s="26">
        <f>'TX SEDS'!D183-SUM(C417,C339,C352,C365,C378,C391,C404)</f>
        <v>67.937236954569556</v>
      </c>
      <c r="D430" s="26">
        <f>'TX SEDS'!E183-SUM(D417,D339,D352,D365,D378,D391,D404)</f>
        <v>68.076644185679257</v>
      </c>
      <c r="E430" s="26">
        <f>'TX SEDS'!F183-SUM(E417,E339,E352,E365,E378,E391,E404)</f>
        <v>68.216051416788957</v>
      </c>
      <c r="F430" s="26">
        <f>'TX SEDS'!G183-SUM(F417,F339,F352,F365,F378,F391,F404)</f>
        <v>68.355458647898658</v>
      </c>
      <c r="G430" s="26">
        <f>'TX SEDS'!H183-SUM(G417,G339,G352,G365,G378,G391,G404)</f>
        <v>68.494865879008358</v>
      </c>
      <c r="H430" s="26">
        <f>'TX SEDS'!I183-SUM(H417,H339,H352,H365,H378,H391,H404)</f>
        <v>68.634273110118059</v>
      </c>
      <c r="I430" s="26">
        <f>'TX SEDS'!J183-SUM(I417,I339,I352,I365,I378,I391,I404)</f>
        <v>68.77368034122776</v>
      </c>
      <c r="J430" s="26">
        <f>'TX SEDS'!K183-SUM(J417,J339,J352,J365,J378,J391,J404)</f>
        <v>68.913087572337446</v>
      </c>
      <c r="K430" s="26">
        <f>'TX SEDS'!L183-SUM(K417,K339,K352,K365,K378,K391,K404)</f>
        <v>69.052494803447146</v>
      </c>
      <c r="L430" s="26">
        <f>'TX SEDS'!M183-SUM(L417,L339,L352,L365,L378,L391,L404)</f>
        <v>69.191902034556847</v>
      </c>
      <c r="M430" s="26">
        <f>'TX SEDS'!N183-SUM(M417,M339,M352,M365,M378,M391,M404)</f>
        <v>69.331309265666548</v>
      </c>
      <c r="N430" s="26">
        <f>'TX SEDS'!O183-SUM(N417,N339,N352,N365,N378,N391,N404)</f>
        <v>69.470716496776248</v>
      </c>
      <c r="O430" s="26">
        <f>'TX SEDS'!P183-SUM(O417,O339,O352,O365,O378,O391,O404)</f>
        <v>69.610123727885949</v>
      </c>
      <c r="P430" s="26">
        <f>'TX SEDS'!Q183-SUM(P417,P339,P352,P365,P378,P391,P404)</f>
        <v>69.749530958995649</v>
      </c>
      <c r="Q430" s="26">
        <f>'TX SEDS'!R183-SUM(Q417,Q339,Q352,Q365,Q378,Q391,Q404)</f>
        <v>69.88893819010535</v>
      </c>
      <c r="R430" s="26">
        <f>'TX SEDS'!S183-SUM(R417,R339,R352,R365,R378,R391,R404)</f>
        <v>70.02834542121505</v>
      </c>
      <c r="S430" s="26">
        <f>'TX SEDS'!T183-SUM(S417,S339,S352,S365,S378,S391,S404)</f>
        <v>70.167752652324751</v>
      </c>
      <c r="T430" s="26">
        <f>'TX SEDS'!U183-SUM(T417,T339,T352,T365,T378,T391,T404)</f>
        <v>70.307159883434451</v>
      </c>
      <c r="U430" s="26">
        <f>'TX SEDS'!V183-SUM(U417,U339,U352,U365,U378,U391,U404)</f>
        <v>70.446567114544138</v>
      </c>
      <c r="V430" s="26">
        <f>'TX SEDS'!W183-SUM(V417,V339,V352,V365,V378,V391,V404)</f>
        <v>70.585974345653838</v>
      </c>
      <c r="W430" s="26">
        <f>'TX SEDS'!X183-SUM(W417,W339,W352,W365,W378,W391,W404)</f>
        <v>70.725381576763539</v>
      </c>
      <c r="X430" s="26">
        <f>'TX SEDS'!Y183-SUM(X417,X339,X352,X365,X378,X391,X404)</f>
        <v>70.864788807873239</v>
      </c>
      <c r="Y430" s="26">
        <f>'TX SEDS'!Z183-SUM(Y417,Y339,Y352,Y365,Y378,Y391,Y404)</f>
        <v>71.00419603898294</v>
      </c>
      <c r="Z430" s="26">
        <f>'TX SEDS'!AA183-SUM(Z417,Z339,Z352,Z365,Z378,Z391,Z404)</f>
        <v>71.14360327009264</v>
      </c>
      <c r="AA430" s="26">
        <f>'TX SEDS'!AB183-SUM(AA417,AA339,AA352,AA365,AA378,AA391,AA404)</f>
        <v>71.283010501202341</v>
      </c>
      <c r="AB430" s="26">
        <f>'TX SEDS'!AC183-SUM(AB417,AB339,AB352,AB365,AB378,AB391,AB404)</f>
        <v>71.422417732312041</v>
      </c>
      <c r="AC430" s="26">
        <f>'TX SEDS'!AD183-SUM(AC417,AC339,AC352,AC365,AC378,AC391,AC404)</f>
        <v>71.561824963421742</v>
      </c>
      <c r="AD430" s="26">
        <f>'TX SEDS'!AE183-SUM(AD417,AD339,AD352,AD365,AD378,AD391,AD404)</f>
        <v>71.701232194531443</v>
      </c>
      <c r="AE430" s="26">
        <f>'TX SEDS'!AF183-SUM(AE417,AE339,AE352,AE365,AE378,AE391,AE404)</f>
        <v>71.840639425641143</v>
      </c>
      <c r="AF430" s="26">
        <f>'TX SEDS'!AG183-SUM(AF417,AF339,AF352,AF365,AF378,AF391,AF404)</f>
        <v>71.980046656750844</v>
      </c>
      <c r="AG430" s="26">
        <f>'TX SEDS'!AH183-SUM(AG417,AG339,AG352,AG365,AG378,AG391,AG404)</f>
        <v>72.11945388786053</v>
      </c>
      <c r="AH430" s="26">
        <f>'TX SEDS'!AI183-SUM(AH417,AH339,AH352,AH365,AH378,AH391,AH404)</f>
        <v>72.258861118970231</v>
      </c>
      <c r="AI430" s="26">
        <f>'TX SEDS'!AJ183-SUM(AI417,AI339,AI352,AI365,AI378,AI391,AI404)</f>
        <v>72.398268350080002</v>
      </c>
    </row>
    <row r="431" spans="1:39">
      <c r="A431" s="26" t="s">
        <v>1011</v>
      </c>
      <c r="B431" s="38">
        <f>'TX SEDS'!C187-SUM(B418,B340,B353,B366,B379,B392,B405)</f>
        <v>477.39596665926348</v>
      </c>
      <c r="C431" s="38">
        <f>'TX SEDS'!D187-SUM(C418,C340,C353,C366,C379,C392,C405)</f>
        <v>483.23514022271604</v>
      </c>
      <c r="D431" s="38">
        <f>'TX SEDS'!E187-SUM(D418,D340,D353,D366,D379,D392,D405)</f>
        <v>489.0743137861686</v>
      </c>
      <c r="E431" s="38">
        <f>'TX SEDS'!F187-SUM(E418,E340,E353,E366,E379,E392,E405)</f>
        <v>495.5769016912962</v>
      </c>
      <c r="F431" s="38">
        <f>'TX SEDS'!G187-SUM(F418,F340,F353,F366,F379,F392,F405)</f>
        <v>502.46430413113512</v>
      </c>
      <c r="G431" s="38">
        <f>'TX SEDS'!H187-SUM(G418,G340,G353,G366,G379,G392,G405)</f>
        <v>509.08959532909887</v>
      </c>
      <c r="H431" s="38">
        <f>'TX SEDS'!I187-SUM(H418,H340,H353,H366,H379,H392,H405)</f>
        <v>515.65189478712637</v>
      </c>
      <c r="I431" s="38">
        <f>'TX SEDS'!J187-SUM(I418,I340,I353,I366,I379,I392,I405)</f>
        <v>522.30057250377433</v>
      </c>
      <c r="J431" s="38">
        <f>'TX SEDS'!K187-SUM(J418,J340,J353,J366,J379,J392,J405)</f>
        <v>529.02281145191932</v>
      </c>
      <c r="K431" s="38">
        <f>'TX SEDS'!L187-SUM(K418,K340,K353,K366,K379,K392,K405)</f>
        <v>535.77961385235358</v>
      </c>
      <c r="L431" s="38">
        <f>'TX SEDS'!M187-SUM(L418,L340,L353,L366,L379,L392,L405)</f>
        <v>542.53942309090439</v>
      </c>
      <c r="M431" s="38">
        <f>'TX SEDS'!N187-SUM(M418,M340,M353,M366,M379,M392,M405)</f>
        <v>549.29980939939651</v>
      </c>
      <c r="N431" s="38">
        <f>'TX SEDS'!O187-SUM(N418,N340,N353,N366,N379,N392,N405)</f>
        <v>556.06380998804912</v>
      </c>
      <c r="O431" s="38">
        <f>'TX SEDS'!P187-SUM(O418,O340,O353,O366,O379,O392,O405)</f>
        <v>562.82774983249715</v>
      </c>
      <c r="P431" s="38">
        <f>'TX SEDS'!Q187-SUM(P418,P340,P353,P366,P379,P392,P405)</f>
        <v>569.59250972370432</v>
      </c>
      <c r="Q431" s="38">
        <f>'TX SEDS'!R187-SUM(Q418,Q340,Q353,Q366,Q379,Q392,Q405)</f>
        <v>576.35723316838903</v>
      </c>
      <c r="R431" s="38">
        <f>'TX SEDS'!S187-SUM(R418,R340,R353,R366,R379,R392,R405)</f>
        <v>583.12251849696395</v>
      </c>
      <c r="S431" s="38">
        <f>'TX SEDS'!T187-SUM(S418,S340,S353,S366,S379,S392,S405)</f>
        <v>589.88802857909513</v>
      </c>
      <c r="T431" s="38">
        <f>'TX SEDS'!U187-SUM(T418,T340,T353,T366,T379,T392,T405)</f>
        <v>596.65370786420772</v>
      </c>
      <c r="U431" s="38">
        <f>'TX SEDS'!V187-SUM(U418,U340,U353,U366,U379,U392,U405)</f>
        <v>602.63653579781499</v>
      </c>
      <c r="V431" s="38">
        <f>'TX SEDS'!W187-SUM(V418,V340,V353,V366,V379,V392,V405)</f>
        <v>608.6177558627046</v>
      </c>
      <c r="W431" s="38">
        <f>'TX SEDS'!X187-SUM(W418,W340,W353,W366,W379,W392,W405)</f>
        <v>614.59897477345442</v>
      </c>
      <c r="X431" s="38">
        <f>'TX SEDS'!Y187-SUM(X418,X340,X353,X366,X379,X392,X405)</f>
        <v>620.58019365383211</v>
      </c>
      <c r="Y431" s="38">
        <f>'TX SEDS'!Z187-SUM(Y418,Y340,Y353,Y366,Y379,Y392,Y405)</f>
        <v>626.56141256458193</v>
      </c>
      <c r="Z431" s="38">
        <f>'TX SEDS'!AA187-SUM(Z418,Z340,Z353,Z366,Z379,Z392,Z405)</f>
        <v>632.54263147533175</v>
      </c>
      <c r="AA431" s="38">
        <f>'TX SEDS'!AB187-SUM(AA418,AA340,AA353,AA366,AA379,AA392,AA405)</f>
        <v>638.52385035570933</v>
      </c>
      <c r="AB431" s="38">
        <f>'TX SEDS'!AC187-SUM(AB418,AB340,AB353,AB366,AB379,AB392,AB405)</f>
        <v>644.50506926645903</v>
      </c>
      <c r="AC431" s="38">
        <f>'TX SEDS'!AD187-SUM(AC418,AC340,AC353,AC366,AC379,AC392,AC405)</f>
        <v>650.48628814683684</v>
      </c>
      <c r="AD431" s="38">
        <f>'TX SEDS'!AE187-SUM(AD418,AD340,AD353,AD366,AD379,AD392,AD405)</f>
        <v>656.46750705758654</v>
      </c>
      <c r="AE431" s="38">
        <f>'TX SEDS'!AF187-SUM(AE418,AE340,AE353,AE366,AE379,AE392,AE405)</f>
        <v>662.44872596833648</v>
      </c>
      <c r="AF431" s="38">
        <f>'TX SEDS'!AG187-SUM(AF418,AF340,AF353,AF366,AF379,AF392,AF405)</f>
        <v>668.42994487908618</v>
      </c>
      <c r="AG431" s="38">
        <f>'TX SEDS'!AH187-SUM(AG418,AG340,AG353,AG366,AG379,AG392,AG405)</f>
        <v>674.41116375946376</v>
      </c>
      <c r="AH431" s="38">
        <f>'TX SEDS'!AI187-SUM(AH418,AH340,AH353,AH366,AH379,AH392,AH405)</f>
        <v>680.39238267021358</v>
      </c>
      <c r="AI431" s="38">
        <f>'TX SEDS'!AJ187-SUM(AI418,AI340,AI353,AI366,AI379,AI392,AI405)</f>
        <v>686.37360158096362</v>
      </c>
    </row>
    <row r="432" spans="1:39">
      <c r="A432" s="26" t="s">
        <v>1012</v>
      </c>
      <c r="B432" s="26">
        <f t="shared" ref="B432:AI432" si="158">SUM(B419,B341,B354,B367,B380,B393,B406)</f>
        <v>0</v>
      </c>
      <c r="C432" s="26">
        <f t="shared" si="158"/>
        <v>0</v>
      </c>
      <c r="D432" s="26">
        <f t="shared" si="158"/>
        <v>0</v>
      </c>
      <c r="E432" s="26">
        <f t="shared" si="158"/>
        <v>0</v>
      </c>
      <c r="F432" s="26">
        <f t="shared" si="158"/>
        <v>0</v>
      </c>
      <c r="G432" s="26">
        <f t="shared" si="158"/>
        <v>0</v>
      </c>
      <c r="H432" s="26">
        <f t="shared" si="158"/>
        <v>0</v>
      </c>
      <c r="I432" s="26">
        <f t="shared" si="158"/>
        <v>0</v>
      </c>
      <c r="J432" s="26">
        <f t="shared" si="158"/>
        <v>0</v>
      </c>
      <c r="K432" s="26">
        <f t="shared" si="158"/>
        <v>0</v>
      </c>
      <c r="L432" s="26">
        <f t="shared" si="158"/>
        <v>0</v>
      </c>
      <c r="M432" s="26">
        <f t="shared" si="158"/>
        <v>0</v>
      </c>
      <c r="N432" s="26">
        <f t="shared" si="158"/>
        <v>0</v>
      </c>
      <c r="O432" s="26">
        <f t="shared" si="158"/>
        <v>0</v>
      </c>
      <c r="P432" s="26">
        <f t="shared" si="158"/>
        <v>0</v>
      </c>
      <c r="Q432" s="26">
        <f t="shared" si="158"/>
        <v>0</v>
      </c>
      <c r="R432" s="26">
        <f t="shared" si="158"/>
        <v>0</v>
      </c>
      <c r="S432" s="26">
        <f t="shared" si="158"/>
        <v>0</v>
      </c>
      <c r="T432" s="26">
        <f t="shared" si="158"/>
        <v>0</v>
      </c>
      <c r="U432" s="26">
        <f t="shared" si="158"/>
        <v>0</v>
      </c>
      <c r="V432" s="26">
        <f t="shared" si="158"/>
        <v>0</v>
      </c>
      <c r="W432" s="26">
        <f t="shared" si="158"/>
        <v>0</v>
      </c>
      <c r="X432" s="26">
        <f t="shared" si="158"/>
        <v>0</v>
      </c>
      <c r="Y432" s="26">
        <f t="shared" si="158"/>
        <v>0</v>
      </c>
      <c r="Z432" s="26">
        <f t="shared" si="158"/>
        <v>0</v>
      </c>
      <c r="AA432" s="26">
        <f t="shared" si="158"/>
        <v>0</v>
      </c>
      <c r="AB432" s="26">
        <f t="shared" si="158"/>
        <v>0</v>
      </c>
      <c r="AC432" s="26">
        <f t="shared" si="158"/>
        <v>0</v>
      </c>
      <c r="AD432" s="26">
        <f t="shared" si="158"/>
        <v>0</v>
      </c>
      <c r="AE432" s="26">
        <f t="shared" si="158"/>
        <v>0</v>
      </c>
      <c r="AF432" s="26">
        <f t="shared" si="158"/>
        <v>0</v>
      </c>
      <c r="AG432" s="26">
        <f t="shared" si="158"/>
        <v>0</v>
      </c>
      <c r="AH432" s="26">
        <f t="shared" si="158"/>
        <v>0</v>
      </c>
      <c r="AI432" s="26">
        <f t="shared" si="158"/>
        <v>0</v>
      </c>
    </row>
    <row r="433" spans="1:35">
      <c r="A433" s="26" t="s">
        <v>323</v>
      </c>
      <c r="B433" s="38">
        <f>'TX SEDS'!C193-SUM(B420,B342,B355,B368,B381,B394,B407)</f>
        <v>0</v>
      </c>
      <c r="C433" s="38">
        <f>'TX SEDS'!D193-SUM(C420,C342,C355,C368,C381,C394,C407)</f>
        <v>0</v>
      </c>
      <c r="D433" s="38">
        <f>'TX SEDS'!E193-SUM(D420,D342,D355,D368,D381,D394,D407)</f>
        <v>0</v>
      </c>
      <c r="E433" s="38">
        <f>'TX SEDS'!F193-SUM(E420,E342,E355,E368,E381,E394,E407)</f>
        <v>0</v>
      </c>
      <c r="F433" s="38">
        <f>'TX SEDS'!G193-SUM(F420,F342,F355,F368,F381,F394,F407)</f>
        <v>0</v>
      </c>
      <c r="G433" s="38">
        <f>'TX SEDS'!H193-SUM(G420,G342,G355,G368,G381,G394,G407)</f>
        <v>0</v>
      </c>
      <c r="H433" s="38">
        <f>'TX SEDS'!I193-SUM(H420,H342,H355,H368,H381,H394,H407)</f>
        <v>0</v>
      </c>
      <c r="I433" s="38">
        <f>'TX SEDS'!J193-SUM(I420,I342,I355,I368,I381,I394,I407)</f>
        <v>0</v>
      </c>
      <c r="J433" s="38">
        <f>'TX SEDS'!K193-SUM(J420,J342,J355,J368,J381,J394,J407)</f>
        <v>0</v>
      </c>
      <c r="K433" s="38">
        <f>'TX SEDS'!L193-SUM(K420,K342,K355,K368,K381,K394,K407)</f>
        <v>0</v>
      </c>
      <c r="L433" s="38">
        <f>'TX SEDS'!M193-SUM(L420,L342,L355,L368,L381,L394,L407)</f>
        <v>0</v>
      </c>
      <c r="M433" s="38">
        <f>'TX SEDS'!N193-SUM(M420,M342,M355,M368,M381,M394,M407)</f>
        <v>0</v>
      </c>
      <c r="N433" s="38">
        <f>'TX SEDS'!O193-SUM(N420,N342,N355,N368,N381,N394,N407)</f>
        <v>0</v>
      </c>
      <c r="O433" s="38">
        <f>'TX SEDS'!P193-SUM(O420,O342,O355,O368,O381,O394,O407)</f>
        <v>0</v>
      </c>
      <c r="P433" s="38">
        <f>'TX SEDS'!Q193-SUM(P420,P342,P355,P368,P381,P394,P407)</f>
        <v>0</v>
      </c>
      <c r="Q433" s="38">
        <f>'TX SEDS'!R193-SUM(Q420,Q342,Q355,Q368,Q381,Q394,Q407)</f>
        <v>0</v>
      </c>
      <c r="R433" s="38">
        <f>'TX SEDS'!S193-SUM(R420,R342,R355,R368,R381,R394,R407)</f>
        <v>0</v>
      </c>
      <c r="S433" s="38">
        <f>'TX SEDS'!T193-SUM(S420,S342,S355,S368,S381,S394,S407)</f>
        <v>0</v>
      </c>
      <c r="T433" s="38">
        <f>'TX SEDS'!U193-SUM(T420,T342,T355,T368,T381,T394,T407)</f>
        <v>0</v>
      </c>
      <c r="U433" s="38">
        <f>'TX SEDS'!V193-SUM(U420,U342,U355,U368,U381,U394,U407)</f>
        <v>0</v>
      </c>
      <c r="V433" s="38">
        <f>'TX SEDS'!W193-SUM(V420,V342,V355,V368,V381,V394,V407)</f>
        <v>0</v>
      </c>
      <c r="W433" s="38">
        <f>'TX SEDS'!X193-SUM(W420,W342,W355,W368,W381,W394,W407)</f>
        <v>0</v>
      </c>
      <c r="X433" s="38">
        <f>'TX SEDS'!Y193-SUM(X420,X342,X355,X368,X381,X394,X407)</f>
        <v>0</v>
      </c>
      <c r="Y433" s="38">
        <f>'TX SEDS'!Z193-SUM(Y420,Y342,Y355,Y368,Y381,Y394,Y407)</f>
        <v>0</v>
      </c>
      <c r="Z433" s="38">
        <f>'TX SEDS'!AA193-SUM(Z420,Z342,Z355,Z368,Z381,Z394,Z407)</f>
        <v>0</v>
      </c>
      <c r="AA433" s="38">
        <f>'TX SEDS'!AB193-SUM(AA420,AA342,AA355,AA368,AA381,AA394,AA407)</f>
        <v>0</v>
      </c>
      <c r="AB433" s="38">
        <f>'TX SEDS'!AC193-SUM(AB420,AB342,AB355,AB368,AB381,AB394,AB407)</f>
        <v>0</v>
      </c>
      <c r="AC433" s="38">
        <f>'TX SEDS'!AD193-SUM(AC420,AC342,AC355,AC368,AC381,AC394,AC407)</f>
        <v>0</v>
      </c>
      <c r="AD433" s="38">
        <f>'TX SEDS'!AE193-SUM(AD420,AD342,AD355,AD368,AD381,AD394,AD407)</f>
        <v>0</v>
      </c>
      <c r="AE433" s="38">
        <f>'TX SEDS'!AF193-SUM(AE420,AE342,AE355,AE368,AE381,AE394,AE407)</f>
        <v>0</v>
      </c>
      <c r="AF433" s="38">
        <f>'TX SEDS'!AG193-SUM(AF420,AF342,AF355,AF368,AF381,AF394,AF407)</f>
        <v>0</v>
      </c>
      <c r="AG433" s="38">
        <f>'TX SEDS'!AH193-SUM(AG420,AG342,AG355,AG368,AG381,AG394,AG407)</f>
        <v>0</v>
      </c>
      <c r="AH433" s="38">
        <f>'TX SEDS'!AI193-SUM(AH420,AH342,AH355,AH368,AH381,AH394,AH407)</f>
        <v>0</v>
      </c>
      <c r="AI433" s="38">
        <f>'TX SEDS'!AJ193-SUM(AI420,AI342,AI355,AI368,AI381,AI394,AI407)</f>
        <v>0</v>
      </c>
    </row>
    <row r="434" spans="1:35">
      <c r="A434" s="26" t="s">
        <v>342</v>
      </c>
      <c r="B434" s="38">
        <f>'TX SEDS'!C197-SUM(B421,B343,B356,B369,B382,B395,B408)</f>
        <v>8.1415477006707881</v>
      </c>
      <c r="C434" s="38">
        <f>'TX SEDS'!D197-SUM(C421,C343,C356,C369,C382,C395,C408)</f>
        <v>8.1044115497084697</v>
      </c>
      <c r="D434" s="38">
        <f>'TX SEDS'!E197-SUM(D421,D343,D356,D369,D382,D395,D408)</f>
        <v>8.0672753987461512</v>
      </c>
      <c r="E434" s="38">
        <f>'TX SEDS'!F197-SUM(E421,E343,E356,E369,E382,E395,E408)</f>
        <v>8.0413662229282181</v>
      </c>
      <c r="F434" s="38">
        <f>'TX SEDS'!G197-SUM(F421,F343,F356,F369,F382,F395,F408)</f>
        <v>8.0247161676347734</v>
      </c>
      <c r="G434" s="38">
        <f>'TX SEDS'!H197-SUM(G421,G343,G356,G369,G382,G395,G408)</f>
        <v>8.0017593869959178</v>
      </c>
      <c r="H434" s="38">
        <f>'TX SEDS'!I197-SUM(H421,H343,H356,H369,H382,H395,H408)</f>
        <v>7.9772869460596842</v>
      </c>
      <c r="I434" s="38">
        <f>'TX SEDS'!J197-SUM(I421,I343,I356,I369,I382,I395,I408)</f>
        <v>7.9548928744029794</v>
      </c>
      <c r="J434" s="38">
        <f>'TX SEDS'!K197-SUM(J421,J343,J356,J369,J382,J395,J408)</f>
        <v>7.9342687782719521</v>
      </c>
      <c r="K434" s="38">
        <f>'TX SEDS'!L197-SUM(K421,K343,K356,K369,K382,K395,K408)</f>
        <v>7.9144763221690901</v>
      </c>
      <c r="L434" s="38">
        <f>'TX SEDS'!M197-SUM(L421,L343,L356,L369,L382,L395,L408)</f>
        <v>7.8947562143639338</v>
      </c>
      <c r="M434" s="38">
        <f>'TX SEDS'!N197-SUM(M421,M343,M356,M369,M382,M395,M408)</f>
        <v>7.8750499915856107</v>
      </c>
      <c r="N434" s="38">
        <f>'TX SEDS'!O197-SUM(N421,N343,N356,N369,N382,N395,N408)</f>
        <v>7.8554307329227102</v>
      </c>
      <c r="O434" s="38">
        <f>'TX SEDS'!P197-SUM(O421,O343,O356,O369,O382,O395,O408)</f>
        <v>7.8358100126780377</v>
      </c>
      <c r="P434" s="38">
        <f>'TX SEDS'!Q197-SUM(P421,P343,P356,P369,P382,P395,P408)</f>
        <v>7.8162090237872848</v>
      </c>
      <c r="Q434" s="38">
        <f>'TX SEDS'!R197-SUM(Q421,Q343,Q356,Q369,Q382,Q395,Q408)</f>
        <v>7.7966071579474683</v>
      </c>
      <c r="R434" s="38">
        <f>'TX SEDS'!S197-SUM(R421,R343,R356,R369,R382,R395,R408)</f>
        <v>7.7770188117390422</v>
      </c>
      <c r="S434" s="38">
        <f>'TX SEDS'!T197-SUM(S421,S343,S356,S369,S382,S395,S408)</f>
        <v>7.7574358733831712</v>
      </c>
      <c r="T434" s="38">
        <f>'TX SEDS'!U197-SUM(T421,T343,T356,T369,T382,T395,T408)</f>
        <v>7.7378570062633258</v>
      </c>
      <c r="U434" s="38">
        <f>'TX SEDS'!V197-SUM(U421,U343,U356,U369,U382,U395,U408)</f>
        <v>7.6994417533978563</v>
      </c>
      <c r="V434" s="38">
        <f>'TX SEDS'!W197-SUM(V421,V343,V356,V369,V382,V395,V408)</f>
        <v>7.6609878131936782</v>
      </c>
      <c r="W434" s="38">
        <f>'TX SEDS'!X197-SUM(W421,W343,W356,W369,W382,W395,W408)</f>
        <v>7.6225338452194462</v>
      </c>
      <c r="X434" s="38">
        <f>'TX SEDS'!Y197-SUM(X421,X343,X356,X369,X382,X395,X408)</f>
        <v>7.5840798765144237</v>
      </c>
      <c r="Y434" s="38">
        <f>'TX SEDS'!Z197-SUM(Y421,Y343,Y356,Y369,Y382,Y395,Y408)</f>
        <v>7.5456259085401909</v>
      </c>
      <c r="Z434" s="38">
        <f>'TX SEDS'!AA197-SUM(Z421,Z343,Z356,Z369,Z382,Z395,Z408)</f>
        <v>7.5071719405659589</v>
      </c>
      <c r="AA434" s="38">
        <f>'TX SEDS'!AB197-SUM(AA421,AA343,AA356,AA369,AA382,AA395,AA408)</f>
        <v>7.4687179718609364</v>
      </c>
      <c r="AB434" s="38">
        <f>'TX SEDS'!AC197-SUM(AB421,AB343,AB356,AB369,AB382,AB395,AB408)</f>
        <v>7.4302640038867036</v>
      </c>
      <c r="AC434" s="38">
        <f>'TX SEDS'!AD197-SUM(AC421,AC343,AC356,AC369,AC382,AC395,AC408)</f>
        <v>7.3918100351816811</v>
      </c>
      <c r="AD434" s="38">
        <f>'TX SEDS'!AE197-SUM(AD421,AD343,AD356,AD369,AD382,AD395,AD408)</f>
        <v>7.3533560672074492</v>
      </c>
      <c r="AE434" s="38">
        <f>'TX SEDS'!AF197-SUM(AE421,AE343,AE356,AE369,AE382,AE395,AE408)</f>
        <v>7.3149020992332172</v>
      </c>
      <c r="AF434" s="38">
        <f>'TX SEDS'!AG197-SUM(AF421,AF343,AF356,AF369,AF382,AF395,AF408)</f>
        <v>7.2764481312589853</v>
      </c>
      <c r="AG434" s="38">
        <f>'TX SEDS'!AH197-SUM(AG421,AG343,AG356,AG369,AG382,AG395,AG408)</f>
        <v>7.2379941625539619</v>
      </c>
      <c r="AH434" s="38">
        <f>'TX SEDS'!AI197-SUM(AH421,AH343,AH356,AH369,AH382,AH395,AH408)</f>
        <v>7.199540194579729</v>
      </c>
      <c r="AI434" s="38">
        <f>'TX SEDS'!AJ197-SUM(AI421,AI343,AI356,AI369,AI382,AI395,AI408)</f>
        <v>7.1610862266055086</v>
      </c>
    </row>
    <row r="435" spans="1:35">
      <c r="A435" s="26" t="s">
        <v>1013</v>
      </c>
      <c r="B435" s="38">
        <f>'TX SEDS'!C201-SUM(B422,B344,B357,B370,B383,B396,B409)</f>
        <v>36.84606615472967</v>
      </c>
      <c r="C435" s="38">
        <f>'TX SEDS'!D201-SUM(C422,C344,C357,C370,C383,C396,C409)</f>
        <v>37.575190455081611</v>
      </c>
      <c r="D435" s="38">
        <f>'TX SEDS'!E201-SUM(D422,D344,D357,D370,D383,D396,D409)</f>
        <v>38.304314755433097</v>
      </c>
      <c r="E435" s="38">
        <f>'TX SEDS'!F201-SUM(E422,E344,E357,E370,E383,E396,E409)</f>
        <v>39.033439055785493</v>
      </c>
      <c r="F435" s="38">
        <f>'TX SEDS'!G201-SUM(F422,F344,F357,F370,F383,F396,F409)</f>
        <v>39.76256335613698</v>
      </c>
      <c r="G435" s="38">
        <f>'TX SEDS'!H201-SUM(G422,G344,G357,G370,G383,G396,G409)</f>
        <v>40.491687656488921</v>
      </c>
      <c r="H435" s="38">
        <f>'TX SEDS'!I201-SUM(H422,H344,H357,H370,H383,H396,H409)</f>
        <v>41.220811956841317</v>
      </c>
      <c r="I435" s="38">
        <f>'TX SEDS'!J201-SUM(I422,I344,I357,I370,I383,I396,I409)</f>
        <v>41.949936257192803</v>
      </c>
      <c r="J435" s="38">
        <f>'TX SEDS'!K201-SUM(J422,J344,J357,J370,J383,J396,J409)</f>
        <v>42.679060557545199</v>
      </c>
      <c r="K435" s="38">
        <f>'TX SEDS'!L201-SUM(K422,K344,K357,K370,K383,K396,K409)</f>
        <v>43.40818485789714</v>
      </c>
      <c r="L435" s="38">
        <f>'TX SEDS'!M201-SUM(L422,L344,L357,L370,L383,L396,L409)</f>
        <v>44.137309158248627</v>
      </c>
      <c r="M435" s="38">
        <f>'TX SEDS'!N201-SUM(M422,M344,M357,M370,M383,M396,M409)</f>
        <v>44.866433458601023</v>
      </c>
      <c r="N435" s="38">
        <f>'TX SEDS'!O201-SUM(N422,N344,N357,N370,N383,N396,N409)</f>
        <v>45.595557758952509</v>
      </c>
      <c r="O435" s="38">
        <f>'TX SEDS'!P201-SUM(O422,O344,O357,O370,O383,O396,O409)</f>
        <v>46.324682059304905</v>
      </c>
      <c r="P435" s="38">
        <f>'TX SEDS'!Q201-SUM(P422,P344,P357,P370,P383,P396,P409)</f>
        <v>47.053806359656392</v>
      </c>
      <c r="Q435" s="38">
        <f>'TX SEDS'!R201-SUM(Q422,Q344,Q357,Q370,Q383,Q396,Q409)</f>
        <v>47.782930660008333</v>
      </c>
      <c r="R435" s="38">
        <f>'TX SEDS'!S201-SUM(R422,R344,R357,R370,R383,R396,R409)</f>
        <v>48.512054960360729</v>
      </c>
      <c r="S435" s="38">
        <f>'TX SEDS'!T201-SUM(S422,S344,S357,S370,S383,S396,S409)</f>
        <v>49.24117926071267</v>
      </c>
      <c r="T435" s="38">
        <f>'TX SEDS'!U201-SUM(T422,T344,T357,T370,T383,T396,T409)</f>
        <v>49.970303561064156</v>
      </c>
      <c r="U435" s="38">
        <f>'TX SEDS'!V201-SUM(U422,U344,U357,U370,U383,U396,U409)</f>
        <v>50.699427861416552</v>
      </c>
      <c r="V435" s="38">
        <f>'TX SEDS'!W201-SUM(V422,V344,V357,V370,V383,V396,V409)</f>
        <v>51.428552161768039</v>
      </c>
      <c r="W435" s="38">
        <f>'TX SEDS'!X201-SUM(W422,W344,W357,W370,W383,W396,W409)</f>
        <v>52.157676462120435</v>
      </c>
      <c r="X435" s="38">
        <f>'TX SEDS'!Y201-SUM(X422,X344,X357,X370,X383,X396,X409)</f>
        <v>52.886800762471921</v>
      </c>
      <c r="Y435" s="38">
        <f>'TX SEDS'!Z201-SUM(Y422,Y344,Y357,Y370,Y383,Y396,Y409)</f>
        <v>53.615925062823862</v>
      </c>
      <c r="Z435" s="38">
        <f>'TX SEDS'!AA201-SUM(Z422,Z344,Z357,Z370,Z383,Z396,Z409)</f>
        <v>54.345049363176258</v>
      </c>
      <c r="AA435" s="38">
        <f>'TX SEDS'!AB201-SUM(AA422,AA344,AA357,AA370,AA383,AA396,AA409)</f>
        <v>55.0741736635282</v>
      </c>
      <c r="AB435" s="38">
        <f>'TX SEDS'!AC201-SUM(AB422,AB344,AB357,AB370,AB383,AB396,AB409)</f>
        <v>55.803297963879686</v>
      </c>
      <c r="AC435" s="38">
        <f>'TX SEDS'!AD201-SUM(AC422,AC344,AC357,AC370,AC383,AC396,AC409)</f>
        <v>56.532422264232082</v>
      </c>
      <c r="AD435" s="38">
        <f>'TX SEDS'!AE201-SUM(AD422,AD344,AD357,AD370,AD383,AD396,AD409)</f>
        <v>57.261546564583568</v>
      </c>
      <c r="AE435" s="38">
        <f>'TX SEDS'!AF201-SUM(AE422,AE344,AE357,AE370,AE383,AE396,AE409)</f>
        <v>57.990670864935964</v>
      </c>
      <c r="AF435" s="38">
        <f>'TX SEDS'!AG201-SUM(AF422,AF344,AF357,AF370,AF383,AF396,AF409)</f>
        <v>58.719795165287906</v>
      </c>
      <c r="AG435" s="38">
        <f>'TX SEDS'!AH201-SUM(AG422,AG344,AG357,AG370,AG383,AG396,AG409)</f>
        <v>59.448919465639392</v>
      </c>
      <c r="AH435" s="38">
        <f>'TX SEDS'!AI201-SUM(AH422,AH344,AH357,AH370,AH383,AH396,AH409)</f>
        <v>60.178043765991788</v>
      </c>
      <c r="AI435" s="38">
        <f>'TX SEDS'!AJ201-SUM(AI422,AI344,AI357,AI370,AI383,AI396,AI409)</f>
        <v>60.90716806634282</v>
      </c>
    </row>
    <row r="436" spans="1:35">
      <c r="A436" s="26" t="s">
        <v>1014</v>
      </c>
      <c r="B436" s="26">
        <f t="shared" ref="B436:AI436" si="159">SUM(B423,B345,B358,B371,B384,B397,B410)</f>
        <v>0</v>
      </c>
      <c r="C436" s="26">
        <f t="shared" si="159"/>
        <v>0</v>
      </c>
      <c r="D436" s="26">
        <f t="shared" si="159"/>
        <v>0</v>
      </c>
      <c r="E436" s="26">
        <f t="shared" si="159"/>
        <v>0</v>
      </c>
      <c r="F436" s="26">
        <f t="shared" si="159"/>
        <v>0</v>
      </c>
      <c r="G436" s="26">
        <f t="shared" si="159"/>
        <v>0</v>
      </c>
      <c r="H436" s="26">
        <f t="shared" si="159"/>
        <v>0</v>
      </c>
      <c r="I436" s="26">
        <f t="shared" si="159"/>
        <v>0</v>
      </c>
      <c r="J436" s="26">
        <f t="shared" si="159"/>
        <v>0</v>
      </c>
      <c r="K436" s="26">
        <f t="shared" si="159"/>
        <v>0</v>
      </c>
      <c r="L436" s="26">
        <f t="shared" si="159"/>
        <v>0</v>
      </c>
      <c r="M436" s="26">
        <f t="shared" si="159"/>
        <v>0</v>
      </c>
      <c r="N436" s="26">
        <f t="shared" si="159"/>
        <v>0</v>
      </c>
      <c r="O436" s="26">
        <f t="shared" si="159"/>
        <v>0</v>
      </c>
      <c r="P436" s="26">
        <f t="shared" si="159"/>
        <v>0</v>
      </c>
      <c r="Q436" s="26">
        <f t="shared" si="159"/>
        <v>0</v>
      </c>
      <c r="R436" s="26">
        <f t="shared" si="159"/>
        <v>0</v>
      </c>
      <c r="S436" s="26">
        <f t="shared" si="159"/>
        <v>0</v>
      </c>
      <c r="T436" s="26">
        <f t="shared" si="159"/>
        <v>0</v>
      </c>
      <c r="U436" s="26">
        <f t="shared" si="159"/>
        <v>0</v>
      </c>
      <c r="V436" s="26">
        <f t="shared" si="159"/>
        <v>0</v>
      </c>
      <c r="W436" s="26">
        <f t="shared" si="159"/>
        <v>0</v>
      </c>
      <c r="X436" s="26">
        <f t="shared" si="159"/>
        <v>0</v>
      </c>
      <c r="Y436" s="26">
        <f t="shared" si="159"/>
        <v>0</v>
      </c>
      <c r="Z436" s="26">
        <f t="shared" si="159"/>
        <v>0</v>
      </c>
      <c r="AA436" s="26">
        <f t="shared" si="159"/>
        <v>0</v>
      </c>
      <c r="AB436" s="26">
        <f t="shared" si="159"/>
        <v>0</v>
      </c>
      <c r="AC436" s="26">
        <f t="shared" si="159"/>
        <v>0</v>
      </c>
      <c r="AD436" s="26">
        <f t="shared" si="159"/>
        <v>0</v>
      </c>
      <c r="AE436" s="26">
        <f t="shared" si="159"/>
        <v>0</v>
      </c>
      <c r="AF436" s="26">
        <f t="shared" si="159"/>
        <v>0</v>
      </c>
      <c r="AG436" s="26">
        <f t="shared" si="159"/>
        <v>0</v>
      </c>
      <c r="AH436" s="26">
        <f t="shared" si="159"/>
        <v>0</v>
      </c>
      <c r="AI436" s="26">
        <f t="shared" si="159"/>
        <v>0</v>
      </c>
    </row>
    <row r="437" spans="1: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row>
    <row r="438" spans="1: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row>
    <row r="439" spans="1: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row>
    <row r="440" spans="1:35" s="8" customFormat="1">
      <c r="A440" s="2" t="s">
        <v>1302</v>
      </c>
    </row>
    <row r="441" spans="1: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row>
    <row r="450" spans="1:20" ht="14.65" thickBot="1">
      <c r="A450" s="2" t="s">
        <v>1307</v>
      </c>
      <c r="B450" s="8"/>
      <c r="C450" s="8"/>
      <c r="D450" s="8"/>
      <c r="E450" s="8"/>
      <c r="F450" s="8"/>
      <c r="G450" s="8"/>
      <c r="H450" s="8"/>
      <c r="I450" s="8"/>
      <c r="J450" s="8"/>
      <c r="K450" s="8"/>
      <c r="N450" s="2" t="s">
        <v>1309</v>
      </c>
      <c r="O450" s="8"/>
      <c r="P450" s="8"/>
      <c r="Q450" s="8"/>
      <c r="R450" s="8"/>
      <c r="S450" s="8"/>
      <c r="T450" s="8"/>
    </row>
    <row r="451" spans="1:20">
      <c r="A451" s="341"/>
      <c r="B451" s="174"/>
      <c r="C451" s="454"/>
      <c r="D451" s="454"/>
      <c r="E451" s="460" t="s">
        <v>860</v>
      </c>
      <c r="F451" s="461"/>
      <c r="G451" s="460" t="s">
        <v>340</v>
      </c>
      <c r="H451" s="454"/>
      <c r="I451" s="454"/>
      <c r="J451" s="454"/>
      <c r="K451" s="462"/>
      <c r="N451" s="341"/>
      <c r="O451" s="174"/>
      <c r="P451" s="174"/>
      <c r="Q451" s="174"/>
      <c r="R451" s="174"/>
      <c r="S451" s="174"/>
      <c r="T451" s="336"/>
    </row>
    <row r="452" spans="1:20">
      <c r="A452" s="205"/>
      <c r="B452" s="177"/>
      <c r="C452" s="458" t="s">
        <v>590</v>
      </c>
      <c r="D452" s="459" t="s">
        <v>593</v>
      </c>
      <c r="E452" s="459" t="s">
        <v>594</v>
      </c>
      <c r="F452" s="459" t="s">
        <v>595</v>
      </c>
      <c r="G452" s="459" t="s">
        <v>596</v>
      </c>
      <c r="H452" s="403"/>
      <c r="I452" s="404" t="s">
        <v>597</v>
      </c>
      <c r="J452" s="459" t="s">
        <v>590</v>
      </c>
      <c r="K452" s="397"/>
      <c r="N452" s="205"/>
      <c r="O452" s="177"/>
      <c r="P452" s="177"/>
      <c r="Q452" s="177"/>
      <c r="R452" s="177"/>
      <c r="S452" s="177"/>
      <c r="T452" s="338"/>
    </row>
    <row r="453" spans="1:20">
      <c r="A453" s="205"/>
      <c r="B453" s="177"/>
      <c r="C453" s="459"/>
      <c r="D453" s="459" t="s">
        <v>602</v>
      </c>
      <c r="E453" s="459" t="s">
        <v>603</v>
      </c>
      <c r="F453" s="459" t="s">
        <v>604</v>
      </c>
      <c r="G453" s="459" t="s">
        <v>605</v>
      </c>
      <c r="H453" s="404" t="s">
        <v>134</v>
      </c>
      <c r="I453" s="404" t="s">
        <v>606</v>
      </c>
      <c r="J453" s="459" t="s">
        <v>1148</v>
      </c>
      <c r="K453" s="463" t="s">
        <v>1227</v>
      </c>
      <c r="N453" s="205"/>
      <c r="O453" s="177" t="s">
        <v>1303</v>
      </c>
      <c r="P453" s="177" t="s">
        <v>814</v>
      </c>
      <c r="Q453" s="177" t="s">
        <v>797</v>
      </c>
      <c r="R453" s="177" t="s">
        <v>1304</v>
      </c>
      <c r="S453" s="177" t="s">
        <v>796</v>
      </c>
      <c r="T453" s="338" t="s">
        <v>1305</v>
      </c>
    </row>
    <row r="454" spans="1:20" ht="24">
      <c r="A454" s="393" t="s">
        <v>660</v>
      </c>
      <c r="B454" s="353" t="s">
        <v>661</v>
      </c>
      <c r="C454" s="177"/>
      <c r="D454" s="177">
        <f>'TX SEDS'!$C$197*$I$154*E215*Q215</f>
        <v>0</v>
      </c>
      <c r="E454" s="177">
        <f>R215*F215*$I$140*'TX SEDS'!$C$187</f>
        <v>0</v>
      </c>
      <c r="F454" s="177">
        <f>S215*G215*$I$147*'TX SEDS'!$C$177</f>
        <v>0</v>
      </c>
      <c r="G454" s="177">
        <f>T215*H215*$I$144*'TX SEDS'!$C$201</f>
        <v>0</v>
      </c>
      <c r="H454" s="177"/>
      <c r="I454" s="177"/>
      <c r="J454" s="177">
        <f>W215*K215*($I$137+$I$135)*'TX SEDS'!$C$173</f>
        <v>0</v>
      </c>
      <c r="K454" s="338">
        <f>X215*L215*$I$157*$BI$106*'TX SEDS'!$C$183</f>
        <v>0</v>
      </c>
      <c r="N454" s="205" t="s">
        <v>1306</v>
      </c>
      <c r="O454" s="177">
        <f>1-(SUM(D454:D457)/B356)</f>
        <v>1</v>
      </c>
      <c r="P454" s="177">
        <f>1-(SUM(E454:E457)/B353)</f>
        <v>1</v>
      </c>
      <c r="Q454" s="177">
        <f>1-SUM(F454:F457)/B351</f>
        <v>1</v>
      </c>
      <c r="R454" s="177">
        <f>1-SUM(G454:G457)/B357</f>
        <v>5.3078902256612048E-2</v>
      </c>
      <c r="S454" s="177">
        <f>1-SUM(J454:J457)/B350</f>
        <v>0.6988047663654362</v>
      </c>
      <c r="T454" s="338">
        <v>1</v>
      </c>
    </row>
    <row r="455" spans="1:20" ht="35.65">
      <c r="A455" s="393" t="s">
        <v>662</v>
      </c>
      <c r="B455" s="353" t="s">
        <v>663</v>
      </c>
      <c r="C455" s="177"/>
      <c r="D455" s="177">
        <f>Q216*E216*$I$154*'TX SEDS'!$C$197</f>
        <v>0</v>
      </c>
      <c r="E455" s="177">
        <f>R216*F216*$I$140*'TX SEDS'!$C$187</f>
        <v>0</v>
      </c>
      <c r="F455" s="177">
        <f>S216*G216*$I$147*'TX SEDS'!$C$177</f>
        <v>0</v>
      </c>
      <c r="G455" s="177">
        <f>T216*H216*$I$144*'TX SEDS'!$C$201</f>
        <v>122.8072566024447</v>
      </c>
      <c r="H455" s="177"/>
      <c r="I455" s="177"/>
      <c r="J455" s="177">
        <f>W216*K216*($I$137+$I$135)*'TX SEDS'!$C$173</f>
        <v>0</v>
      </c>
      <c r="K455" s="338">
        <f>X216*L216*$I$157*$BI$106*'TX SEDS'!$C$183</f>
        <v>0</v>
      </c>
      <c r="N455" s="205" t="s">
        <v>7</v>
      </c>
      <c r="O455" s="177">
        <f>1-SUM(D458:D459)/B382</f>
        <v>3.5087719298245723E-2</v>
      </c>
      <c r="P455" s="177">
        <f>1-SUM(E458:E459)/B379</f>
        <v>0.63636363636363635</v>
      </c>
      <c r="Q455" s="177">
        <f>1-SUM(F458:F459)/B377</f>
        <v>0.76860841423948223</v>
      </c>
      <c r="R455" s="177">
        <f>1-SUM(G458:G459)/B383</f>
        <v>1.4409221902016434E-3</v>
      </c>
      <c r="S455" s="177">
        <f>1-SUM(J458:J459)/B376</f>
        <v>0.85882352941176476</v>
      </c>
      <c r="T455" s="338">
        <v>1</v>
      </c>
    </row>
    <row r="456" spans="1:20" ht="47.25">
      <c r="A456" s="393" t="s">
        <v>664</v>
      </c>
      <c r="B456" s="353" t="s">
        <v>665</v>
      </c>
      <c r="C456" s="177"/>
      <c r="D456" s="177">
        <f>Q217*E217*$I$154*'TX SEDS'!$C$197</f>
        <v>0</v>
      </c>
      <c r="E456" s="177">
        <f>R217*F217*$I$140*'TX SEDS'!$C$187</f>
        <v>0</v>
      </c>
      <c r="F456" s="177">
        <f>S217*G217*$I$147*'TX SEDS'!$C$177</f>
        <v>0</v>
      </c>
      <c r="G456" s="177">
        <f>T217*H217*$I$144*'TX SEDS'!$C$201</f>
        <v>61.403628301222348</v>
      </c>
      <c r="H456" s="177"/>
      <c r="I456" s="177"/>
      <c r="J456" s="177">
        <f>W217*K217*($I$137+$I$135)*'TX SEDS'!$C$173</f>
        <v>0</v>
      </c>
      <c r="K456" s="338">
        <f>X217*L217*$I$157*$BI$106*'TX SEDS'!$C$183</f>
        <v>0</v>
      </c>
      <c r="N456" s="205" t="s">
        <v>1310</v>
      </c>
      <c r="O456" s="177">
        <v>1</v>
      </c>
      <c r="P456" s="177">
        <v>1</v>
      </c>
      <c r="Q456" s="177">
        <v>1</v>
      </c>
      <c r="R456" s="177">
        <v>1</v>
      </c>
      <c r="S456" s="177">
        <v>1</v>
      </c>
      <c r="T456" s="338">
        <v>1</v>
      </c>
    </row>
    <row r="457" spans="1:20" ht="36" thickBot="1">
      <c r="A457" s="393" t="s">
        <v>666</v>
      </c>
      <c r="B457" s="353" t="s">
        <v>667</v>
      </c>
      <c r="C457" s="177"/>
      <c r="D457" s="177">
        <f>Q218*E218*$I$154*'TX SEDS'!$C$197</f>
        <v>0</v>
      </c>
      <c r="E457" s="177">
        <f>R218*F218*$I$140*'TX SEDS'!$C$187</f>
        <v>0</v>
      </c>
      <c r="F457" s="177">
        <f>S218*G218*$I$147*'TX SEDS'!$C$177</f>
        <v>0</v>
      </c>
      <c r="G457" s="177">
        <f>T218*H218*$I$144*'TX SEDS'!$C$201</f>
        <v>15.555585836309664</v>
      </c>
      <c r="H457" s="177"/>
      <c r="I457" s="177"/>
      <c r="J457" s="177">
        <f>W218*K218*($I$137+$I$135)*'TX SEDS'!$C$173</f>
        <v>1.2832394989500806</v>
      </c>
      <c r="K457" s="338">
        <f>X218*L218*$I$157*$BI$106*'TX SEDS'!$C$183</f>
        <v>0</v>
      </c>
      <c r="N457" s="206" t="s">
        <v>1311</v>
      </c>
      <c r="O457" s="182">
        <f>1</f>
        <v>1</v>
      </c>
      <c r="P457" s="182">
        <v>1</v>
      </c>
      <c r="Q457" s="182">
        <f>1-SUM(F462:F463)/B364</f>
        <v>0.77272727272727271</v>
      </c>
      <c r="R457" s="182">
        <v>1</v>
      </c>
      <c r="S457" s="182">
        <f>1-SUM(J462:J463)/B363</f>
        <v>0.52380952380952372</v>
      </c>
      <c r="T457" s="330">
        <v>1</v>
      </c>
    </row>
    <row r="458" spans="1:20">
      <c r="A458" s="395" t="s">
        <v>668</v>
      </c>
      <c r="B458" s="352" t="s">
        <v>569</v>
      </c>
      <c r="C458" s="177"/>
      <c r="D458" s="177">
        <f>Q219*E219*$I$154*'TX SEDS'!$C$197</f>
        <v>6.0485961775616417</v>
      </c>
      <c r="E458" s="177">
        <f>R219*F219*$I$140*'TX SEDS'!$C$187</f>
        <v>0.25137221062455301</v>
      </c>
      <c r="F458" s="177">
        <f>S219*G219*$I$147*'TX SEDS'!$C$177</f>
        <v>117.81746665460906</v>
      </c>
      <c r="G458" s="177">
        <f>T219*H219*$I$144*'TX SEDS'!$C$201</f>
        <v>2269.4781020131782</v>
      </c>
      <c r="H458" s="177"/>
      <c r="I458" s="177"/>
      <c r="J458" s="177">
        <f>W219*K219*($I$137+$I$135)*'TX SEDS'!$C$173</f>
        <v>0.23690575365232255</v>
      </c>
      <c r="K458" s="338">
        <f>X219*L219*$I$157*$BI$106*'TX SEDS'!$C$183</f>
        <v>0</v>
      </c>
    </row>
    <row r="459" spans="1:20" ht="35.65">
      <c r="A459" s="395" t="s">
        <v>698</v>
      </c>
      <c r="B459" s="352" t="s">
        <v>699</v>
      </c>
      <c r="C459" s="177"/>
      <c r="D459" s="177">
        <f>Q220*E220*$I$154*'TX SEDS'!$C$197</f>
        <v>0</v>
      </c>
      <c r="E459" s="177">
        <f>R220*F220*$I$140*'TX SEDS'!$C$187</f>
        <v>0</v>
      </c>
      <c r="F459" s="177">
        <f>S220*G220*$I$147*'TX SEDS'!$C$177</f>
        <v>0</v>
      </c>
      <c r="G459" s="177">
        <f>T220*H220*$I$144*'TX SEDS'!$C$201</f>
        <v>0</v>
      </c>
      <c r="H459" s="177"/>
      <c r="I459" s="177"/>
      <c r="J459" s="177">
        <f>W220*K220*($I$137+$I$135)*'TX SEDS'!$C$173</f>
        <v>0</v>
      </c>
      <c r="K459" s="338">
        <f>X220*L220*$I$157*$BI$106*'TX SEDS'!$C$183</f>
        <v>0</v>
      </c>
    </row>
    <row r="460" spans="1:20">
      <c r="A460" s="398" t="s">
        <v>712</v>
      </c>
      <c r="B460" s="366" t="s">
        <v>713</v>
      </c>
      <c r="C460" s="177"/>
      <c r="D460" s="177">
        <f>Q221*E221*$I$154*'TX SEDS'!$C$197</f>
        <v>0</v>
      </c>
      <c r="E460" s="177">
        <f>R221*F221*$I$140*'TX SEDS'!$C$187</f>
        <v>0</v>
      </c>
      <c r="F460" s="177">
        <f>S221*G221*$I$147*'TX SEDS'!$C$177</f>
        <v>0</v>
      </c>
      <c r="G460" s="177">
        <f>T221*H221*$I$144*'TX SEDS'!$C$201</f>
        <v>0</v>
      </c>
      <c r="H460" s="177"/>
      <c r="I460" s="177"/>
      <c r="J460" s="177">
        <f>W221*K221*($I$137+$I$135)*'TX SEDS'!$C$173</f>
        <v>0</v>
      </c>
      <c r="K460" s="338">
        <f>X221*L221*$I$157*$BI$106*'TX SEDS'!$C$183</f>
        <v>0</v>
      </c>
    </row>
    <row r="461" spans="1:20">
      <c r="A461" s="398" t="s">
        <v>714</v>
      </c>
      <c r="B461" s="366" t="s">
        <v>715</v>
      </c>
      <c r="C461" s="177"/>
      <c r="D461" s="177">
        <f>Q222*E222*$I$154*'TX SEDS'!$C$197</f>
        <v>0</v>
      </c>
      <c r="E461" s="177">
        <f>R222*F222*$I$140*'TX SEDS'!$C$187</f>
        <v>0</v>
      </c>
      <c r="F461" s="177">
        <f>S222*G222*$I$147*'TX SEDS'!$C$177</f>
        <v>0</v>
      </c>
      <c r="G461" s="177">
        <f>T222*H222*$I$144*'TX SEDS'!$C$201</f>
        <v>0</v>
      </c>
      <c r="H461" s="177"/>
      <c r="I461" s="177"/>
      <c r="J461" s="177">
        <f>W222*K222*($I$137+$I$135)*'TX SEDS'!$C$173</f>
        <v>0</v>
      </c>
      <c r="K461" s="338">
        <f>X222*L222*$I$157*$BI$106*'TX SEDS'!$C$183</f>
        <v>0</v>
      </c>
    </row>
    <row r="462" spans="1:20" ht="35.65">
      <c r="A462" s="399" t="s">
        <v>722</v>
      </c>
      <c r="B462" s="351" t="s">
        <v>723</v>
      </c>
      <c r="C462" s="177"/>
      <c r="D462" s="177">
        <f>Q223*E223*$I$154*'TX SEDS'!$C$197</f>
        <v>0</v>
      </c>
      <c r="E462" s="177">
        <f>R223*F223*$I$140*'TX SEDS'!$C$187</f>
        <v>0</v>
      </c>
      <c r="F462" s="177">
        <f>S223*G223*$I$147*'TX SEDS'!$C$177</f>
        <v>6.5911869457123942</v>
      </c>
      <c r="G462" s="177">
        <f>T223*H223*$I$144*'TX SEDS'!$C$201</f>
        <v>0</v>
      </c>
      <c r="H462" s="177"/>
      <c r="I462" s="177"/>
      <c r="J462" s="177">
        <f>W223*K223*($I$137+$I$135)*'TX SEDS'!$C$173</f>
        <v>0.5922643841308064</v>
      </c>
      <c r="K462" s="338">
        <f>X223*L223*$I$157*$BI$106*'TX SEDS'!$C$183</f>
        <v>0</v>
      </c>
    </row>
    <row r="463" spans="1:20" ht="36" thickBot="1">
      <c r="A463" s="400" t="s">
        <v>724</v>
      </c>
      <c r="B463" s="401" t="s">
        <v>725</v>
      </c>
      <c r="C463" s="182"/>
      <c r="D463" s="182">
        <f>Q224*E224*$I$154*'TX SEDS'!$C$197</f>
        <v>0</v>
      </c>
      <c r="E463" s="182">
        <f>R224*F224*$I$140*'TX SEDS'!$C$187</f>
        <v>0</v>
      </c>
      <c r="F463" s="182">
        <f>S224*G224*$I$147*'TX SEDS'!$C$177</f>
        <v>0.27463278940468311</v>
      </c>
      <c r="G463" s="182">
        <f>T224*H224*$I$144*'TX SEDS'!$C$201</f>
        <v>0</v>
      </c>
      <c r="H463" s="182"/>
      <c r="I463" s="182"/>
      <c r="J463" s="182">
        <f>W224*K224*($I$137+$I$135)*'TX SEDS'!$C$173</f>
        <v>0</v>
      </c>
      <c r="K463" s="330">
        <f>X224*L224*$I$157*$BI$106*'TX SEDS'!$C$183</f>
        <v>0</v>
      </c>
    </row>
  </sheetData>
  <mergeCells count="7">
    <mergeCell ref="B252:B253"/>
    <mergeCell ref="CD22:CD23"/>
    <mergeCell ref="BQ22:BQ23"/>
    <mergeCell ref="BM14:BX17"/>
    <mergeCell ref="BZ14:CK17"/>
    <mergeCell ref="BC106:BD106"/>
    <mergeCell ref="B130:H132"/>
  </mergeCells>
  <hyperlinks>
    <hyperlink ref="E316" r:id="rId1" location="Generation" display="https://www.epa.gov/facts-and-figures-about-materials-waste-and-recycling/national-overview-facts-and-figures-materials - Generation"/>
    <hyperlink ref="E317" r:id="rId2"/>
    <hyperlink ref="E321" r:id="rId3"/>
    <hyperlink ref="E322" r:id="rId4"/>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68"/>
  <sheetViews>
    <sheetView topLeftCell="Y1" workbookViewId="0">
      <selection activeCell="C17" sqref="C17"/>
    </sheetView>
  </sheetViews>
  <sheetFormatPr defaultColWidth="8.796875" defaultRowHeight="14.25"/>
  <cols>
    <col min="1" max="1" width="39.796875" customWidth="1"/>
    <col min="2" max="2" width="12" bestFit="1" customWidth="1"/>
    <col min="3" max="35" width="9.6640625" bestFit="1" customWidth="1"/>
  </cols>
  <sheetData>
    <row r="1" spans="1:35" s="5" customFormat="1">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Calculations'!B336*1000000000000</f>
        <v>4174099735836.7339</v>
      </c>
      <c r="C2" s="21">
        <f>'TX Calculations'!C336*1000000000000</f>
        <v>4216274046244.9966</v>
      </c>
      <c r="D2" s="21">
        <f>'TX Calculations'!D336*1000000000000</f>
        <v>4258448356653.2593</v>
      </c>
      <c r="E2" s="21">
        <f>'TX Calculations'!E336*1000000000000</f>
        <v>4300622667061.522</v>
      </c>
      <c r="F2" s="21">
        <f>'TX Calculations'!F336*1000000000000</f>
        <v>4342796977469.7852</v>
      </c>
      <c r="G2" s="21">
        <f>'TX Calculations'!G336*1000000000000</f>
        <v>4384971287878.0479</v>
      </c>
      <c r="H2" s="21">
        <f>'TX Calculations'!H336*1000000000000</f>
        <v>4427145598286.3105</v>
      </c>
      <c r="I2" s="21">
        <f>'TX Calculations'!I336*1000000000000</f>
        <v>4469319908694.5732</v>
      </c>
      <c r="J2" s="21">
        <f>'TX Calculations'!J336*1000000000000</f>
        <v>4511494219102.8359</v>
      </c>
      <c r="K2" s="21">
        <f>'TX Calculations'!K336*1000000000000</f>
        <v>4553668529511.0986</v>
      </c>
      <c r="L2" s="21">
        <f>'TX Calculations'!L336*1000000000000</f>
        <v>4595842839919.3623</v>
      </c>
      <c r="M2" s="21">
        <f>'TX Calculations'!M336*1000000000000</f>
        <v>4638017150327.625</v>
      </c>
      <c r="N2" s="21">
        <f>'TX Calculations'!N336*1000000000000</f>
        <v>4680191460735.8877</v>
      </c>
      <c r="O2" s="21">
        <f>'TX Calculations'!O336*1000000000000</f>
        <v>4722365771144.1504</v>
      </c>
      <c r="P2" s="21">
        <f>'TX Calculations'!P336*1000000000000</f>
        <v>4764540081552.4121</v>
      </c>
      <c r="Q2" s="21">
        <f>'TX Calculations'!Q336*1000000000000</f>
        <v>4806714391960.6748</v>
      </c>
      <c r="R2" s="21">
        <f>'TX Calculations'!R336*1000000000000</f>
        <v>4848888702368.9375</v>
      </c>
      <c r="S2" s="21">
        <f>'TX Calculations'!S336*1000000000000</f>
        <v>4891063012777.2012</v>
      </c>
      <c r="T2" s="21">
        <f>'TX Calculations'!T336*1000000000000</f>
        <v>4933237323185.4639</v>
      </c>
      <c r="U2" s="21">
        <f>'TX Calculations'!U336*1000000000000</f>
        <v>4975411633593.7275</v>
      </c>
      <c r="V2" s="21">
        <f>'TX Calculations'!V336*1000000000000</f>
        <v>5017585944001.9893</v>
      </c>
      <c r="W2" s="21">
        <f>'TX Calculations'!W336*1000000000000</f>
        <v>5059760254410.252</v>
      </c>
      <c r="X2" s="21">
        <f>'TX Calculations'!X336*1000000000000</f>
        <v>5101934564818.5146</v>
      </c>
      <c r="Y2" s="21">
        <f>'TX Calculations'!Y336*1000000000000</f>
        <v>5144108875226.7773</v>
      </c>
      <c r="Z2" s="21">
        <f>'TX Calculations'!Z336*1000000000000</f>
        <v>5186283185635.04</v>
      </c>
      <c r="AA2" s="21">
        <f>'TX Calculations'!AA336*1000000000000</f>
        <v>5228457496043.3027</v>
      </c>
      <c r="AB2" s="21">
        <f>'TX Calculations'!AB336*1000000000000</f>
        <v>5270631806451.5654</v>
      </c>
      <c r="AC2" s="21">
        <f>'TX Calculations'!AC336*1000000000000</f>
        <v>5312806116859.8291</v>
      </c>
      <c r="AD2" s="21">
        <f>'TX Calculations'!AD336*1000000000000</f>
        <v>5354980427268.0918</v>
      </c>
      <c r="AE2" s="21">
        <f>'TX Calculations'!AE336*1000000000000</f>
        <v>5397154737676.3545</v>
      </c>
      <c r="AF2" s="21">
        <f>'TX Calculations'!AF336*1000000000000</f>
        <v>5439329048084.6162</v>
      </c>
      <c r="AG2" s="21">
        <f>'TX Calculations'!AG336*1000000000000</f>
        <v>5481503358492.8789</v>
      </c>
      <c r="AH2" s="21">
        <f>'TX Calculations'!AH336*1000000000000</f>
        <v>5523677668901.1416</v>
      </c>
      <c r="AI2" s="21">
        <f>'TX Calculations'!AI336*1000000000000</f>
        <v>5565851979309.4102</v>
      </c>
    </row>
    <row r="3" spans="1:35">
      <c r="A3" s="5" t="s">
        <v>567</v>
      </c>
      <c r="B3" s="21">
        <f>'TX Calculations'!B349*1000000000000</f>
        <v>125036012509624.09</v>
      </c>
      <c r="C3" s="21">
        <f>'TX Calculations'!C349*1000000000000</f>
        <v>21303279391553.668</v>
      </c>
      <c r="D3" s="21">
        <f>'TX Calculations'!D349*1000000000000</f>
        <v>21516370644142.785</v>
      </c>
      <c r="E3" s="21">
        <f>'TX Calculations'!E349*1000000000000</f>
        <v>21729461896731.906</v>
      </c>
      <c r="F3" s="21">
        <f>'TX Calculations'!F349*1000000000000</f>
        <v>21942553149321.023</v>
      </c>
      <c r="G3" s="21">
        <f>'TX Calculations'!G349*1000000000000</f>
        <v>22155644401910.137</v>
      </c>
      <c r="H3" s="21">
        <f>'TX Calculations'!H349*1000000000000</f>
        <v>22368735654499.254</v>
      </c>
      <c r="I3" s="21">
        <f>'TX Calculations'!I349*1000000000000</f>
        <v>22581826907088.371</v>
      </c>
      <c r="J3" s="21">
        <f>'TX Calculations'!J349*1000000000000</f>
        <v>22794918159677.488</v>
      </c>
      <c r="K3" s="21">
        <f>'TX Calculations'!K349*1000000000000</f>
        <v>23008009412266.605</v>
      </c>
      <c r="L3" s="21">
        <f>'TX Calculations'!L349*1000000000000</f>
        <v>23221100664855.723</v>
      </c>
      <c r="M3" s="21">
        <f>'TX Calculations'!M349*1000000000000</f>
        <v>23434191917444.84</v>
      </c>
      <c r="N3" s="21">
        <f>'TX Calculations'!N349*1000000000000</f>
        <v>23647283170033.957</v>
      </c>
      <c r="O3" s="21">
        <f>'TX Calculations'!O349*1000000000000</f>
        <v>23860374422623.074</v>
      </c>
      <c r="P3" s="21">
        <f>'TX Calculations'!P349*1000000000000</f>
        <v>24073465675212.191</v>
      </c>
      <c r="Q3" s="21">
        <f>'TX Calculations'!Q349*1000000000000</f>
        <v>24286556927801.309</v>
      </c>
      <c r="R3" s="21">
        <f>'TX Calculations'!R349*1000000000000</f>
        <v>24499648180390.426</v>
      </c>
      <c r="S3" s="21">
        <f>'TX Calculations'!S349*1000000000000</f>
        <v>24712739432979.543</v>
      </c>
      <c r="T3" s="21">
        <f>'TX Calculations'!T349*1000000000000</f>
        <v>24925830685568.66</v>
      </c>
      <c r="U3" s="21">
        <f>'TX Calculations'!U349*1000000000000</f>
        <v>25138921938157.773</v>
      </c>
      <c r="V3" s="21">
        <f>'TX Calculations'!V349*1000000000000</f>
        <v>25352013190746.895</v>
      </c>
      <c r="W3" s="21">
        <f>'TX Calculations'!W349*1000000000000</f>
        <v>25565104443336.012</v>
      </c>
      <c r="X3" s="21">
        <f>'TX Calculations'!X349*1000000000000</f>
        <v>25778195695925.129</v>
      </c>
      <c r="Y3" s="21">
        <f>'TX Calculations'!Y349*1000000000000</f>
        <v>25991286948514.242</v>
      </c>
      <c r="Z3" s="21">
        <f>'TX Calculations'!Z349*1000000000000</f>
        <v>26204378201103.359</v>
      </c>
      <c r="AA3" s="21">
        <f>'TX Calculations'!AA349*1000000000000</f>
        <v>26417469453692.484</v>
      </c>
      <c r="AB3" s="21">
        <f>'TX Calculations'!AB349*1000000000000</f>
        <v>26630560706281.598</v>
      </c>
      <c r="AC3" s="21">
        <f>'TX Calculations'!AC349*1000000000000</f>
        <v>26843651958870.715</v>
      </c>
      <c r="AD3" s="21">
        <f>'TX Calculations'!AD349*1000000000000</f>
        <v>27056743211459.832</v>
      </c>
      <c r="AE3" s="21">
        <f>'TX Calculations'!AE349*1000000000000</f>
        <v>27269834464048.949</v>
      </c>
      <c r="AF3" s="21">
        <f>'TX Calculations'!AF349*1000000000000</f>
        <v>27482925716638.066</v>
      </c>
      <c r="AG3" s="21">
        <f>'TX Calculations'!AG349*1000000000000</f>
        <v>27696016969227.184</v>
      </c>
      <c r="AH3" s="21">
        <f>'TX Calculations'!AH349*1000000000000</f>
        <v>27909108221816.301</v>
      </c>
      <c r="AI3" s="21">
        <f>'TX Calculations'!AI349*1000000000000</f>
        <v>28122199474405.441</v>
      </c>
    </row>
    <row r="4" spans="1:35">
      <c r="A4" s="5" t="s">
        <v>568</v>
      </c>
      <c r="B4" s="21">
        <f>'TX Calculations'!B362*1000000000000</f>
        <v>21090188138964.555</v>
      </c>
      <c r="C4" s="21">
        <f>'TX Calculations'!C362*1000000000000</f>
        <v>21303279391553.668</v>
      </c>
      <c r="D4" s="21">
        <f>'TX Calculations'!D362*1000000000000</f>
        <v>21516370644142.785</v>
      </c>
      <c r="E4" s="21">
        <f>'TX Calculations'!E362*1000000000000</f>
        <v>21729461896731.906</v>
      </c>
      <c r="F4" s="21">
        <f>'TX Calculations'!F362*1000000000000</f>
        <v>21942553149321.023</v>
      </c>
      <c r="G4" s="21">
        <f>'TX Calculations'!G362*1000000000000</f>
        <v>22155644401910.137</v>
      </c>
      <c r="H4" s="21">
        <f>'TX Calculations'!H362*1000000000000</f>
        <v>22368735654499.254</v>
      </c>
      <c r="I4" s="21">
        <f>'TX Calculations'!I362*1000000000000</f>
        <v>22581826907088.371</v>
      </c>
      <c r="J4" s="21">
        <f>'TX Calculations'!J362*1000000000000</f>
        <v>22794918159677.488</v>
      </c>
      <c r="K4" s="21">
        <f>'TX Calculations'!K362*1000000000000</f>
        <v>23008009412266.605</v>
      </c>
      <c r="L4" s="21">
        <f>'TX Calculations'!L362*1000000000000</f>
        <v>23221100664855.723</v>
      </c>
      <c r="M4" s="21">
        <f>'TX Calculations'!M362*1000000000000</f>
        <v>23434191917444.84</v>
      </c>
      <c r="N4" s="21">
        <f>'TX Calculations'!N362*1000000000000</f>
        <v>23647283170033.957</v>
      </c>
      <c r="O4" s="21">
        <f>'TX Calculations'!O362*1000000000000</f>
        <v>23860374422623.074</v>
      </c>
      <c r="P4" s="21">
        <f>'TX Calculations'!P362*1000000000000</f>
        <v>24073465675212.191</v>
      </c>
      <c r="Q4" s="21">
        <f>'TX Calculations'!Q362*1000000000000</f>
        <v>24286556927801.309</v>
      </c>
      <c r="R4" s="21">
        <f>'TX Calculations'!R362*1000000000000</f>
        <v>24499648180390.426</v>
      </c>
      <c r="S4" s="21">
        <f>'TX Calculations'!S362*1000000000000</f>
        <v>24712739432979.543</v>
      </c>
      <c r="T4" s="21">
        <f>'TX Calculations'!T362*1000000000000</f>
        <v>24925830685568.66</v>
      </c>
      <c r="U4" s="21">
        <f>'TX Calculations'!U362*1000000000000</f>
        <v>25138921938157.773</v>
      </c>
      <c r="V4" s="21">
        <f>'TX Calculations'!V362*1000000000000</f>
        <v>25352013190746.895</v>
      </c>
      <c r="W4" s="21">
        <f>'TX Calculations'!W362*1000000000000</f>
        <v>25565104443336.012</v>
      </c>
      <c r="X4" s="21">
        <f>'TX Calculations'!X362*1000000000000</f>
        <v>25778195695925.129</v>
      </c>
      <c r="Y4" s="21">
        <f>'TX Calculations'!Y362*1000000000000</f>
        <v>25991286948514.242</v>
      </c>
      <c r="Z4" s="21">
        <f>'TX Calculations'!Z362*1000000000000</f>
        <v>26204378201103.359</v>
      </c>
      <c r="AA4" s="21">
        <f>'TX Calculations'!AA362*1000000000000</f>
        <v>26417469453692.484</v>
      </c>
      <c r="AB4" s="21">
        <f>'TX Calculations'!AB362*1000000000000</f>
        <v>26630560706281.598</v>
      </c>
      <c r="AC4" s="21">
        <f>'TX Calculations'!AC362*1000000000000</f>
        <v>26843651958870.715</v>
      </c>
      <c r="AD4" s="21">
        <f>'TX Calculations'!AD362*1000000000000</f>
        <v>27056743211459.832</v>
      </c>
      <c r="AE4" s="21">
        <f>'TX Calculations'!AE362*1000000000000</f>
        <v>27269834464048.949</v>
      </c>
      <c r="AF4" s="21">
        <f>'TX Calculations'!AF362*1000000000000</f>
        <v>27482925716638.066</v>
      </c>
      <c r="AG4" s="21">
        <f>'TX Calculations'!AG362*1000000000000</f>
        <v>27696016969227.184</v>
      </c>
      <c r="AH4" s="21">
        <f>'TX Calculations'!AH362*1000000000000</f>
        <v>27909108221816.301</v>
      </c>
      <c r="AI4" s="21">
        <f>'TX Calculations'!AI362*1000000000000</f>
        <v>28122199474405.441</v>
      </c>
    </row>
    <row r="5" spans="1:35">
      <c r="A5" s="5" t="s">
        <v>569</v>
      </c>
      <c r="B5" s="21">
        <f>'TX Calculations'!B375*1000000000000</f>
        <v>71838453348348.016</v>
      </c>
      <c r="C5" s="21">
        <f>'TX Calculations'!C375*1000000000000</f>
        <v>72564295427479.688</v>
      </c>
      <c r="D5" s="21">
        <f>'TX Calculations'!D375*1000000000000</f>
        <v>73290137506611.359</v>
      </c>
      <c r="E5" s="21">
        <f>'TX Calculations'!E375*1000000000000</f>
        <v>74015979585743.047</v>
      </c>
      <c r="F5" s="21">
        <f>'TX Calculations'!F375*1000000000000</f>
        <v>74741821664874.719</v>
      </c>
      <c r="G5" s="21">
        <f>'TX Calculations'!G375*1000000000000</f>
        <v>75467663744006.406</v>
      </c>
      <c r="H5" s="21">
        <f>'TX Calculations'!H375*1000000000000</f>
        <v>76193505823138.078</v>
      </c>
      <c r="I5" s="21">
        <f>'TX Calculations'!I375*1000000000000</f>
        <v>76919347902269.766</v>
      </c>
      <c r="J5" s="21">
        <f>'TX Calculations'!J375*1000000000000</f>
        <v>77645189981401.438</v>
      </c>
      <c r="K5" s="21">
        <f>'TX Calculations'!K375*1000000000000</f>
        <v>78371032060533.125</v>
      </c>
      <c r="L5" s="21">
        <f>'TX Calculations'!L375*1000000000000</f>
        <v>79096874139664.813</v>
      </c>
      <c r="M5" s="21">
        <f>'TX Calculations'!M375*1000000000000</f>
        <v>79822716218796.484</v>
      </c>
      <c r="N5" s="21">
        <f>'TX Calculations'!N375*1000000000000</f>
        <v>80548558297928.172</v>
      </c>
      <c r="O5" s="21">
        <f>'TX Calculations'!O375*1000000000000</f>
        <v>81274400377059.844</v>
      </c>
      <c r="P5" s="21">
        <f>'TX Calculations'!P375*1000000000000</f>
        <v>82000242456191.531</v>
      </c>
      <c r="Q5" s="21">
        <f>'TX Calculations'!Q375*1000000000000</f>
        <v>82726084535323.203</v>
      </c>
      <c r="R5" s="21">
        <f>'TX Calculations'!R375*1000000000000</f>
        <v>83451926614454.891</v>
      </c>
      <c r="S5" s="21">
        <f>'TX Calculations'!S375*1000000000000</f>
        <v>84177768693586.563</v>
      </c>
      <c r="T5" s="21">
        <f>'TX Calculations'!T375*1000000000000</f>
        <v>84903610772718.234</v>
      </c>
      <c r="U5" s="21">
        <f>'TX Calculations'!U375*1000000000000</f>
        <v>85629452851849.922</v>
      </c>
      <c r="V5" s="21">
        <f>'TX Calculations'!V375*1000000000000</f>
        <v>86355294930981.594</v>
      </c>
      <c r="W5" s="21">
        <f>'TX Calculations'!W375*1000000000000</f>
        <v>87081137010113.281</v>
      </c>
      <c r="X5" s="21">
        <f>'TX Calculations'!X375*1000000000000</f>
        <v>87806979089244.969</v>
      </c>
      <c r="Y5" s="21">
        <f>'TX Calculations'!Y375*1000000000000</f>
        <v>88532821168376.641</v>
      </c>
      <c r="Z5" s="21">
        <f>'TX Calculations'!Z375*1000000000000</f>
        <v>89258663247508.328</v>
      </c>
      <c r="AA5" s="21">
        <f>'TX Calculations'!AA375*1000000000000</f>
        <v>89984505326640.016</v>
      </c>
      <c r="AB5" s="21">
        <f>'TX Calculations'!AB375*1000000000000</f>
        <v>90710347405771.703</v>
      </c>
      <c r="AC5" s="21">
        <f>'TX Calculations'!AC375*1000000000000</f>
        <v>91436189484903.359</v>
      </c>
      <c r="AD5" s="21">
        <f>'TX Calculations'!AD375*1000000000000</f>
        <v>92162031564035.047</v>
      </c>
      <c r="AE5" s="21">
        <f>'TX Calculations'!AE375*1000000000000</f>
        <v>92887873643166.734</v>
      </c>
      <c r="AF5" s="21">
        <f>'TX Calculations'!AF375*1000000000000</f>
        <v>93613715722298.406</v>
      </c>
      <c r="AG5" s="21">
        <f>'TX Calculations'!AG375*1000000000000</f>
        <v>94339557801430.094</v>
      </c>
      <c r="AH5" s="21">
        <f>'TX Calculations'!AH375*1000000000000</f>
        <v>95065399880561.766</v>
      </c>
      <c r="AI5" s="21">
        <f>'TX Calculations'!AI375*1000000000000</f>
        <v>95791241959693.531</v>
      </c>
    </row>
    <row r="6" spans="1:35">
      <c r="A6" s="5" t="s">
        <v>570</v>
      </c>
      <c r="B6" s="21">
        <f>'TX Calculations'!B388*1000000000000</f>
        <v>1311295716360.1853</v>
      </c>
      <c r="C6" s="21">
        <f>'TX Calculations'!C388*1000000000000</f>
        <v>1324544799055.5496</v>
      </c>
      <c r="D6" s="21">
        <f>'TX Calculations'!D388*1000000000000</f>
        <v>1337793881750.9141</v>
      </c>
      <c r="E6" s="21">
        <f>'TX Calculations'!E388*1000000000000</f>
        <v>1279169519255.5447</v>
      </c>
      <c r="F6" s="21">
        <f>'TX Calculations'!F388*1000000000000</f>
        <v>1177275281843.6924</v>
      </c>
      <c r="G6" s="21">
        <f>'TX Calculations'!G388*1000000000000</f>
        <v>1104853737449.1445</v>
      </c>
      <c r="H6" s="21">
        <f>'TX Calculations'!H388*1000000000000</f>
        <v>1039515201782.0461</v>
      </c>
      <c r="I6" s="21">
        <f>'TX Calculations'!I388*1000000000000</f>
        <v>964463996480.97168</v>
      </c>
      <c r="J6" s="21">
        <f>'TX Calculations'!J388*1000000000000</f>
        <v>881141312328.45923</v>
      </c>
      <c r="K6" s="21">
        <f>'TX Calculations'!K388*1000000000000</f>
        <v>793932194264.74255</v>
      </c>
      <c r="L6" s="21">
        <f>'TX Calculations'!L388*1000000000000</f>
        <v>706384976941.61548</v>
      </c>
      <c r="M6" s="21">
        <f>'TX Calculations'!M388*1000000000000</f>
        <v>618772871881.83374</v>
      </c>
      <c r="N6" s="21">
        <f>'TX Calculations'!N388*1000000000000</f>
        <v>530754364681.95233</v>
      </c>
      <c r="O6" s="21">
        <f>'TX Calculations'!O388*1000000000000</f>
        <v>442742687770.13989</v>
      </c>
      <c r="P6" s="21">
        <f>'TX Calculations'!P388*1000000000000</f>
        <v>354638801969.39728</v>
      </c>
      <c r="Q6" s="21">
        <f>'TX Calculations'!Q388*1000000000000</f>
        <v>266539014341.49606</v>
      </c>
      <c r="R6" s="21">
        <f>'TX Calculations'!R388*1000000000000</f>
        <v>178376046548.95749</v>
      </c>
      <c r="S6" s="21">
        <f>'TX Calculations'!S388*1000000000000</f>
        <v>90187806690.564011</v>
      </c>
      <c r="T6" s="21">
        <f>'TX Calculations'!T388*1000000000000</f>
        <v>1980541064.7545872</v>
      </c>
      <c r="U6" s="21">
        <f>'TX Calculations'!U388*1000000000000</f>
        <v>1799784321.2992146</v>
      </c>
      <c r="V6" s="21">
        <f>'TX Calculations'!V388*1000000000000</f>
        <v>1799821887.8835938</v>
      </c>
      <c r="W6" s="21">
        <f>'TX Calculations'!W388*1000000000000</f>
        <v>1799989229.9412818</v>
      </c>
      <c r="X6" s="21">
        <f>'TX Calculations'!X388*1000000000000</f>
        <v>1800159987.1430042</v>
      </c>
      <c r="Y6" s="21">
        <f>'TX Calculations'!Y388*1000000000000</f>
        <v>1800327329.2006922</v>
      </c>
      <c r="Z6" s="21">
        <f>'TX Calculations'!Z388*1000000000000</f>
        <v>1800494671.2583802</v>
      </c>
      <c r="AA6" s="21">
        <f>'TX Calculations'!AA388*1000000000000</f>
        <v>1800665428.4601026</v>
      </c>
      <c r="AB6" s="21">
        <f>'TX Calculations'!AB388*1000000000000</f>
        <v>1800832770.5177908</v>
      </c>
      <c r="AC6" s="21">
        <f>'TX Calculations'!AC388*1000000000000</f>
        <v>1801003527.7195132</v>
      </c>
      <c r="AD6" s="21">
        <f>'TX Calculations'!AD388*1000000000000</f>
        <v>1801170869.7772014</v>
      </c>
      <c r="AE6" s="21">
        <f>'TX Calculations'!AE388*1000000000000</f>
        <v>1801338211.8348894</v>
      </c>
      <c r="AF6" s="21">
        <f>'TX Calculations'!AF388*1000000000000</f>
        <v>1801505553.8925776</v>
      </c>
      <c r="AG6" s="21">
        <f>'TX Calculations'!AG388*1000000000000</f>
        <v>1801676311.0943003</v>
      </c>
      <c r="AH6" s="21">
        <f>'TX Calculations'!AH388*1000000000000</f>
        <v>1801843653.1519883</v>
      </c>
      <c r="AI6" s="21">
        <f>'TX Calculations'!AI388*1000000000000</f>
        <v>1802010995.209676</v>
      </c>
    </row>
    <row r="7" spans="1:35">
      <c r="A7" s="5" t="s">
        <v>571</v>
      </c>
      <c r="B7" s="21">
        <f>'TX Calculations'!B401*1000000000000</f>
        <v>14511114844938.57</v>
      </c>
      <c r="C7" s="21">
        <f>'TX Calculations'!C401*1000000000000</f>
        <v>14618131218250.352</v>
      </c>
      <c r="D7" s="21">
        <f>'TX Calculations'!D401*1000000000000</f>
        <v>14725057775050.748</v>
      </c>
      <c r="E7" s="21">
        <f>'TX Calculations'!E401*1000000000000</f>
        <v>14831804698828.381</v>
      </c>
      <c r="F7" s="21">
        <f>'TX Calculations'!F401*1000000000000</f>
        <v>14938237264816.18</v>
      </c>
      <c r="G7" s="21">
        <f>'TX Calculations'!G401*1000000000000</f>
        <v>15044175839991.369</v>
      </c>
      <c r="H7" s="21">
        <f>'TX Calculations'!H401*1000000000000</f>
        <v>15149440791331.199</v>
      </c>
      <c r="I7" s="21">
        <f>'TX Calculations'!I401*1000000000000</f>
        <v>15253762669301.516</v>
      </c>
      <c r="J7" s="21">
        <f>'TX Calculations'!J401*1000000000000</f>
        <v>15356961840879.555</v>
      </c>
      <c r="K7" s="21">
        <f>'TX Calculations'!K401*1000000000000</f>
        <v>15458948489553.938</v>
      </c>
      <c r="L7" s="21">
        <f>'TX Calculations'!L401*1000000000000</f>
        <v>15559857340091.734</v>
      </c>
      <c r="M7" s="21">
        <f>'TX Calculations'!M401*1000000000000</f>
        <v>15659284218191.725</v>
      </c>
      <c r="N7" s="21">
        <f>'TX Calculations'!N401*1000000000000</f>
        <v>15757049490831.148</v>
      </c>
      <c r="O7" s="21">
        <f>'TX Calculations'!O401*1000000000000</f>
        <v>15852973524987.234</v>
      </c>
      <c r="P7" s="21">
        <f>'TX Calculations'!P401*1000000000000</f>
        <v>15946966504148.609</v>
      </c>
      <c r="Q7" s="21">
        <f>'TX Calculations'!Q401*1000000000000</f>
        <v>16038848795292.502</v>
      </c>
      <c r="R7" s="21">
        <f>'TX Calculations'!R401*1000000000000</f>
        <v>16128665306674.609</v>
      </c>
      <c r="S7" s="21">
        <f>'TX Calculations'!S401*1000000000000</f>
        <v>16216326221783.547</v>
      </c>
      <c r="T7" s="21">
        <f>'TX Calculations'!T401*1000000000000</f>
        <v>16301831540619.311</v>
      </c>
      <c r="U7" s="21">
        <f>'TX Calculations'!U401*1000000000000</f>
        <v>16385315987948.979</v>
      </c>
      <c r="V7" s="21">
        <f>'TX Calculations'!V401*1000000000000</f>
        <v>16466779563772.547</v>
      </c>
      <c r="W7" s="21">
        <f>'TX Calculations'!W401*1000000000000</f>
        <v>16546356992857.092</v>
      </c>
      <c r="X7" s="21">
        <f>'TX Calculations'!X401*1000000000000</f>
        <v>16624093183458.303</v>
      </c>
      <c r="Y7" s="21">
        <f>'TX Calculations'!Y401*1000000000000</f>
        <v>16700077952087.568</v>
      </c>
      <c r="Z7" s="21">
        <f>'TX Calculations'!Z401*1000000000000</f>
        <v>16774490931767.645</v>
      </c>
      <c r="AA7" s="21">
        <f>'TX Calculations'!AA401*1000000000000</f>
        <v>16847421939009.912</v>
      </c>
      <c r="AB7" s="21">
        <f>'TX Calculations'!AB401*1000000000000</f>
        <v>16919005698581.455</v>
      </c>
      <c r="AC7" s="21">
        <f>'TX Calculations'!AC401*1000000000000</f>
        <v>16989421843505.021</v>
      </c>
      <c r="AD7" s="21">
        <f>'TX Calculations'!AD401*1000000000000</f>
        <v>17058894915059.082</v>
      </c>
      <c r="AE7" s="21">
        <f>'TX Calculations'!AE401*1000000000000</f>
        <v>17127559638010.701</v>
      </c>
      <c r="AF7" s="21">
        <f>'TX Calculations'!AF401*1000000000000</f>
        <v>17195685461894.029</v>
      </c>
      <c r="AG7" s="21">
        <f>'TX Calculations'!AG401*1000000000000</f>
        <v>17263407111476.137</v>
      </c>
      <c r="AH7" s="21">
        <f>'TX Calculations'!AH401*1000000000000</f>
        <v>17330904219779.789</v>
      </c>
      <c r="AI7" s="21">
        <f>'TX Calculations'!AI401*1000000000000</f>
        <v>17398311511572.061</v>
      </c>
    </row>
    <row r="8" spans="1:35">
      <c r="A8" s="5" t="s">
        <v>572</v>
      </c>
      <c r="B8" s="21">
        <f>'TX Calculations'!B414*1000000000000</f>
        <v>23094488553445.535</v>
      </c>
      <c r="C8" s="21">
        <f>'TX Calculations'!C414*1000000000000</f>
        <v>23327830876488.48</v>
      </c>
      <c r="D8" s="21">
        <f>'TX Calculations'!D414*1000000000000</f>
        <v>23561173199531.426</v>
      </c>
      <c r="E8" s="21">
        <f>'TX Calculations'!E414*1000000000000</f>
        <v>23794515522574.367</v>
      </c>
      <c r="F8" s="21">
        <f>'TX Calculations'!F414*1000000000000</f>
        <v>24027857845617.313</v>
      </c>
      <c r="G8" s="21">
        <f>'TX Calculations'!G414*1000000000000</f>
        <v>24261200168660.258</v>
      </c>
      <c r="H8" s="21">
        <f>'TX Calculations'!H414*1000000000000</f>
        <v>24494542491703.199</v>
      </c>
      <c r="I8" s="21">
        <f>'TX Calculations'!I414*1000000000000</f>
        <v>24727884814746.145</v>
      </c>
      <c r="J8" s="21">
        <f>'TX Calculations'!J414*1000000000000</f>
        <v>24961227137789.086</v>
      </c>
      <c r="K8" s="21">
        <f>'TX Calculations'!K414*1000000000000</f>
        <v>25194569460832.031</v>
      </c>
      <c r="L8" s="21">
        <f>'TX Calculations'!L414*1000000000000</f>
        <v>25427911783874.977</v>
      </c>
      <c r="M8" s="21">
        <f>'TX Calculations'!M414*1000000000000</f>
        <v>25661254106917.918</v>
      </c>
      <c r="N8" s="21">
        <f>'TX Calculations'!N414*1000000000000</f>
        <v>25894596429960.863</v>
      </c>
      <c r="O8" s="21">
        <f>'TX Calculations'!O414*1000000000000</f>
        <v>26127938753003.813</v>
      </c>
      <c r="P8" s="21">
        <f>'TX Calculations'!P414*1000000000000</f>
        <v>26361281076046.754</v>
      </c>
      <c r="Q8" s="21">
        <f>'TX Calculations'!Q414*1000000000000</f>
        <v>26594623399089.699</v>
      </c>
      <c r="R8" s="21">
        <f>'TX Calculations'!R414*1000000000000</f>
        <v>26827965722132.641</v>
      </c>
      <c r="S8" s="21">
        <f>'TX Calculations'!S414*1000000000000</f>
        <v>27061308045175.586</v>
      </c>
      <c r="T8" s="21">
        <f>'TX Calculations'!T414*1000000000000</f>
        <v>27294650368218.531</v>
      </c>
      <c r="U8" s="21">
        <f>'TX Calculations'!U414*1000000000000</f>
        <v>27527992691261.473</v>
      </c>
      <c r="V8" s="21">
        <f>'TX Calculations'!V414*1000000000000</f>
        <v>27761335014304.418</v>
      </c>
      <c r="W8" s="21">
        <f>'TX Calculations'!W414*1000000000000</f>
        <v>27994677337347.363</v>
      </c>
      <c r="X8" s="21">
        <f>'TX Calculations'!X414*1000000000000</f>
        <v>28228019660390.305</v>
      </c>
      <c r="Y8" s="21">
        <f>'TX Calculations'!Y414*1000000000000</f>
        <v>28461361983433.25</v>
      </c>
      <c r="Z8" s="21">
        <f>'TX Calculations'!Z414*1000000000000</f>
        <v>28694704306476.195</v>
      </c>
      <c r="AA8" s="21">
        <f>'TX Calculations'!AA414*1000000000000</f>
        <v>28928046629519.141</v>
      </c>
      <c r="AB8" s="21">
        <f>'TX Calculations'!AB414*1000000000000</f>
        <v>29161388952562.086</v>
      </c>
      <c r="AC8" s="21">
        <f>'TX Calculations'!AC414*1000000000000</f>
        <v>29394731275605.027</v>
      </c>
      <c r="AD8" s="21">
        <f>'TX Calculations'!AD414*1000000000000</f>
        <v>29628073598647.973</v>
      </c>
      <c r="AE8" s="21">
        <f>'TX Calculations'!AE414*1000000000000</f>
        <v>29861415921690.918</v>
      </c>
      <c r="AF8" s="21">
        <f>'TX Calculations'!AF414*1000000000000</f>
        <v>30094758244733.863</v>
      </c>
      <c r="AG8" s="21">
        <f>'TX Calculations'!AG414*1000000000000</f>
        <v>30328100567776.809</v>
      </c>
      <c r="AH8" s="21">
        <f>'TX Calculations'!AH414*1000000000000</f>
        <v>30561442890819.75</v>
      </c>
      <c r="AI8" s="21">
        <f>'TX Calculations'!AI414*1000000000000</f>
        <v>30794785213862.719</v>
      </c>
    </row>
    <row r="9" spans="1:35">
      <c r="A9" s="5" t="s">
        <v>573</v>
      </c>
      <c r="B9" s="21">
        <f>'TX Calculations'!B427*1000000000000</f>
        <v>148244347152482.38</v>
      </c>
      <c r="C9" s="21">
        <f>'TX Calculations'!C427*1000000000000</f>
        <v>254777854258478.88</v>
      </c>
      <c r="D9" s="21">
        <f>'TX Calculations'!D427*1000000000000</f>
        <v>257365626810327.28</v>
      </c>
      <c r="E9" s="21">
        <f>'TX Calculations'!E427*1000000000000</f>
        <v>260025452440389.19</v>
      </c>
      <c r="F9" s="21">
        <f>'TX Calculations'!F427*1000000000000</f>
        <v>262728862303157.38</v>
      </c>
      <c r="G9" s="21">
        <f>'TX Calculations'!G427*1000000000000</f>
        <v>265403293463720.91</v>
      </c>
      <c r="H9" s="21">
        <f>'TX Calculations'!H427*1000000000000</f>
        <v>268071315239392.34</v>
      </c>
      <c r="I9" s="21">
        <f>'TX Calculations'!I427*1000000000000</f>
        <v>270749992758067.25</v>
      </c>
      <c r="J9" s="21">
        <f>'TX Calculations'!J427*1000000000000</f>
        <v>273438064461985.84</v>
      </c>
      <c r="K9" s="21">
        <f>'TX Calculations'!K427*1000000000000</f>
        <v>276131235122719.31</v>
      </c>
      <c r="L9" s="21">
        <f>'TX Calculations'!L427*1000000000000</f>
        <v>278825821680848.84</v>
      </c>
      <c r="M9" s="21">
        <f>'TX Calculations'!M427*1000000000000</f>
        <v>281521955099152.75</v>
      </c>
      <c r="N9" s="21">
        <f>'TX Calculations'!N427*1000000000000</f>
        <v>284220156525057.38</v>
      </c>
      <c r="O9" s="21">
        <f>'TX Calculations'!O427*1000000000000</f>
        <v>286920192359157.25</v>
      </c>
      <c r="P9" s="21">
        <f>'TX Calculations'!P427*1000000000000</f>
        <v>289622251457140.81</v>
      </c>
      <c r="Q9" s="21">
        <f>'TX Calculations'!Q427*1000000000000</f>
        <v>292326417144968.94</v>
      </c>
      <c r="R9" s="21">
        <f>'TX Calculations'!R427*1000000000000</f>
        <v>295032711792723.56</v>
      </c>
      <c r="S9" s="21">
        <f>'TX Calculations'!S427*1000000000000</f>
        <v>297741187308817.13</v>
      </c>
      <c r="T9" s="21">
        <f>'TX Calculations'!T427*1000000000000</f>
        <v>300451837446951.38</v>
      </c>
      <c r="U9" s="21">
        <f>'TX Calculations'!U427*1000000000000</f>
        <v>303076481947709.31</v>
      </c>
      <c r="V9" s="21">
        <f>'TX Calculations'!V427*1000000000000</f>
        <v>305702966525663.31</v>
      </c>
      <c r="W9" s="21">
        <f>'TX Calculations'!W427*1000000000000</f>
        <v>308331337120580.88</v>
      </c>
      <c r="X9" s="21">
        <f>'TX Calculations'!X427*1000000000000</f>
        <v>310961548950566.56</v>
      </c>
      <c r="Y9" s="21">
        <f>'TX Calculations'!Y427*1000000000000</f>
        <v>313593512205939.44</v>
      </c>
      <c r="Z9" s="21">
        <f>'TX Calculations'!Z427*1000000000000</f>
        <v>316227047250261.44</v>
      </c>
      <c r="AA9" s="21">
        <f>'TX Calculations'!AA427*1000000000000</f>
        <v>318862064263606.19</v>
      </c>
      <c r="AB9" s="21">
        <f>'TX Calculations'!AB427*1000000000000</f>
        <v>321498428528036.69</v>
      </c>
      <c r="AC9" s="21">
        <f>'TX Calculations'!AC427*1000000000000</f>
        <v>324135960403700.13</v>
      </c>
      <c r="AD9" s="21">
        <f>'TX Calculations'!AD427*1000000000000</f>
        <v>326774435356148.19</v>
      </c>
      <c r="AE9" s="21">
        <f>'TX Calculations'!AE427*1000000000000</f>
        <v>329413718657198.63</v>
      </c>
      <c r="AF9" s="21">
        <f>'TX Calculations'!AF427*1000000000000</f>
        <v>332053540857317.38</v>
      </c>
      <c r="AG9" s="21">
        <f>'TX Calculations'!AG427*1000000000000</f>
        <v>334693767228322.25</v>
      </c>
      <c r="AH9" s="21">
        <f>'TX Calculations'!AH427*1000000000000</f>
        <v>337334218144020.75</v>
      </c>
      <c r="AI9" s="21">
        <f>'TX Calculations'!AI427*1000000000000</f>
        <v>339974758876230.81</v>
      </c>
    </row>
    <row r="11" spans="1:35" s="26" customFormat="1"/>
    <row r="12" spans="1:35" s="26" customFormat="1">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row>
    <row r="13" spans="1:35" s="26" customFormat="1">
      <c r="B13" s="33"/>
    </row>
    <row r="14" spans="1:35" s="26" customFormat="1">
      <c r="B14" s="33"/>
    </row>
    <row r="15" spans="1:35" s="26" customFormat="1">
      <c r="B15" s="34"/>
    </row>
    <row r="16" spans="1:35" s="26" customFormat="1">
      <c r="B16" s="33"/>
    </row>
    <row r="17" spans="1:3" s="26" customFormat="1">
      <c r="B17" s="33"/>
    </row>
    <row r="18" spans="1:3" s="26" customFormat="1">
      <c r="B18" s="34"/>
    </row>
    <row r="19" spans="1:3" s="26" customFormat="1">
      <c r="B19" s="33"/>
    </row>
    <row r="20" spans="1:3" s="26" customFormat="1">
      <c r="B20" s="33"/>
    </row>
    <row r="21" spans="1:3" s="26" customFormat="1"/>
    <row r="22" spans="1:3" s="26" customFormat="1"/>
    <row r="23" spans="1:3" s="26" customFormat="1"/>
    <row r="24" spans="1:3" s="26" customFormat="1">
      <c r="A24" s="36"/>
      <c r="B24" s="34"/>
    </row>
    <row r="25" spans="1:3" s="26" customFormat="1"/>
    <row r="26" spans="1:3" s="26" customFormat="1"/>
    <row r="27" spans="1:3" s="26" customFormat="1">
      <c r="B27" s="37"/>
    </row>
    <row r="28" spans="1:3" s="26" customFormat="1"/>
    <row r="29" spans="1:3" s="26" customFormat="1">
      <c r="B29" s="34"/>
    </row>
    <row r="30" spans="1:3" s="26" customFormat="1"/>
    <row r="31" spans="1:3" s="26" customFormat="1">
      <c r="B31" s="38"/>
      <c r="C31" s="39"/>
    </row>
    <row r="32" spans="1:3" s="26" customFormat="1">
      <c r="B32" s="38"/>
      <c r="C32" s="40"/>
    </row>
    <row r="33" spans="1:35" s="26" customFormat="1">
      <c r="B33" s="38"/>
    </row>
    <row r="34" spans="1:35" s="26" customFormat="1"/>
    <row r="35" spans="1:35" s="26" customFormat="1">
      <c r="A35" s="41"/>
      <c r="B35" s="42"/>
      <c r="C35" s="41"/>
    </row>
    <row r="36" spans="1:35" s="26" customFormat="1">
      <c r="B36" s="38"/>
    </row>
    <row r="37" spans="1:35" s="26" customFormat="1">
      <c r="A37" s="41"/>
      <c r="B37" s="38"/>
    </row>
    <row r="38" spans="1:35" s="26" customFormat="1">
      <c r="B38" s="38"/>
    </row>
    <row r="39" spans="1:35" s="26" customFormat="1">
      <c r="A39" s="41"/>
      <c r="B39" s="38"/>
    </row>
    <row r="40" spans="1:35" s="26" customFormat="1">
      <c r="B40" s="38"/>
    </row>
    <row r="41" spans="1:35" s="26" customFormat="1"/>
    <row r="42" spans="1:35" s="26" customFormat="1">
      <c r="A42" s="41"/>
    </row>
    <row r="43" spans="1:35" s="26" customForma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26" customFormat="1">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s="26" customFormat="1">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s="26" customFormat="1">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s="26" customFormat="1">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26" customFormat="1">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s="26" customFormat="1">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s="26" customFormat="1">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s="26" customFormat="1">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s="26" customFormat="1">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s="26" customFormat="1">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s="26" customFormat="1">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s="26" customFormat="1">
      <c r="A55" s="1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spans="1:35" s="26" customFormat="1">
      <c r="A56" s="41"/>
    </row>
    <row r="57" spans="1:35" s="26" customFormat="1">
      <c r="A57" s="12"/>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s="26" customFormat="1">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s="26" customFormat="1">
      <c r="A59" s="3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s="26" customFormat="1">
      <c r="A60" s="12"/>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s="26" customFormat="1">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s="26" customFormat="1">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s="26" customFormat="1">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s="26" customFormat="1">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s="26" customFormat="1">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s="26" customFormat="1">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s="26" customFormat="1">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s="26" customFormat="1">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s="26" customFormat="1">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s="26" customFormat="1">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s="26" customFormat="1">
      <c r="A71" s="1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1:35" s="26" customFormat="1">
      <c r="A72" s="25"/>
    </row>
    <row r="73" spans="1:35" s="26" customForma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s="26" customFormat="1">
      <c r="A74" s="1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s="26" customFormat="1">
      <c r="A75" s="1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s="26" customFormat="1">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s="26" customFormat="1">
      <c r="A77" s="12"/>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26" customFormat="1">
      <c r="A78" s="12"/>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s="26" customFormat="1">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s="26" customFormat="1">
      <c r="A80" s="12"/>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s="26" customFormat="1">
      <c r="A81" s="12"/>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s="26" customFormat="1">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s="26" customFormat="1">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s="26" customFormat="1">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s="26" customFormat="1">
      <c r="A85" s="1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spans="1:35" s="26" customFormat="1">
      <c r="A86" s="25"/>
    </row>
    <row r="87" spans="1:35" s="26" customFormat="1">
      <c r="A87" s="25"/>
    </row>
    <row r="88" spans="1:35" s="26" customFormat="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s="26" customFormat="1">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s="26" customFormat="1">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s="26" customFormat="1">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s="26" customFormat="1">
      <c r="A92" s="12"/>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s="26" customFormat="1">
      <c r="A93" s="12"/>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s="26" customFormat="1">
      <c r="A94" s="12"/>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s="26" customFormat="1">
      <c r="A95" s="12"/>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s="26" customFormat="1">
      <c r="A96" s="12"/>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s="26" customFormat="1">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s="26" customFormat="1">
      <c r="A98" s="12"/>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s="26" customFormat="1">
      <c r="A99" s="27"/>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row r="100" spans="1:35" s="26" customFormat="1">
      <c r="A100" s="3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row>
    <row r="101" spans="1:35" s="26" customFormat="1">
      <c r="A101" s="1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row>
    <row r="102" spans="1:35" s="26" customForma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row>
    <row r="103" spans="1:35" s="26" customFormat="1">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row>
    <row r="104" spans="1:35" s="26" customFormat="1">
      <c r="A104" s="25"/>
    </row>
    <row r="105" spans="1:35" s="26" customFormat="1">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row>
    <row r="106" spans="1:35" s="26" customFormat="1">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row>
    <row r="107" spans="1:35" s="26" customFormat="1">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row>
    <row r="108" spans="1:35" s="26" customFormat="1">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row>
    <row r="109" spans="1:35" s="26" customFormat="1">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row>
    <row r="110" spans="1:35" s="26" customFormat="1">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row>
    <row r="111" spans="1:35" s="26" customFormat="1">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s="26" customFormat="1">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row>
    <row r="113" spans="1:35" s="26" customFormat="1">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row>
    <row r="114" spans="1:35" s="26" customFormat="1">
      <c r="A114" s="1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row>
    <row r="115" spans="1:35" s="26" customFormat="1">
      <c r="A115" s="1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s="26" customFormat="1">
      <c r="A116" s="1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spans="1:35" s="26" customFormat="1">
      <c r="A117" s="41"/>
    </row>
    <row r="118" spans="1:35" s="26" customFormat="1">
      <c r="A118" s="10"/>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row>
    <row r="119" spans="1:35" s="26" customFormat="1">
      <c r="A119" s="10"/>
      <c r="B119" s="43"/>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35" s="26" customFormat="1">
      <c r="A120" s="10"/>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35" s="26" customFormat="1">
      <c r="A121" s="10"/>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row>
    <row r="122" spans="1:35" s="26" customFormat="1">
      <c r="A122" s="41"/>
    </row>
    <row r="123" spans="1:35" s="26" customFormat="1">
      <c r="A123" s="1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s="26" customFormat="1">
      <c r="A124" s="1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s="26" customFormat="1">
      <c r="A125" s="1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s="26" customFormat="1">
      <c r="A126" s="1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s="26" customFormat="1">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s="26" customFormat="1">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5" s="26" customFormat="1">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5" s="26" customFormat="1">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5" s="26" customFormat="1">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5" s="26" customFormat="1">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s="26" customFormat="1">
      <c r="A133" s="1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spans="1:35" s="26" customFormat="1">
      <c r="A134" s="41"/>
    </row>
    <row r="135" spans="1:35" s="26" customFormat="1">
      <c r="A135" s="3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s="26" customFormat="1">
      <c r="A136" s="12"/>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s="26" customFormat="1">
      <c r="A137" s="12"/>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s="26" customFormat="1">
      <c r="A138" s="12"/>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s="26" customFormat="1">
      <c r="A139" s="12"/>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s="26" customFormat="1">
      <c r="A140" s="12"/>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s="26" customFormat="1">
      <c r="A141" s="12"/>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s="26" customFormat="1">
      <c r="A142" s="12"/>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s="26" customFormat="1">
      <c r="A143" s="12"/>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s="26" customFormat="1">
      <c r="A144" s="12"/>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s="26" customFormat="1">
      <c r="A145" s="12"/>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s="26" customFormat="1">
      <c r="A146" s="12"/>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s="26" customFormat="1">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s="26" customFormat="1">
      <c r="A148" s="12"/>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s="26" customFormat="1">
      <c r="A149" s="12"/>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s="26" customFormat="1">
      <c r="A150" s="12"/>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s="26" customFormat="1">
      <c r="A151" s="12"/>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s="26" customFormat="1">
      <c r="A152" s="12"/>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s="26" customFormat="1">
      <c r="A153" s="12"/>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s="26" customFormat="1">
      <c r="A154" s="12"/>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s="26" customFormat="1">
      <c r="A155" s="14"/>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s="26" customFormat="1">
      <c r="A156" s="12"/>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s="26" customFormat="1">
      <c r="A157" s="14"/>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s="26" customFormat="1"/>
    <row r="159" spans="1:35" s="26" customFormat="1">
      <c r="B159" s="46"/>
      <c r="C159" s="46"/>
      <c r="D159" s="46"/>
      <c r="E159" s="46"/>
      <c r="F159" s="46"/>
      <c r="G159" s="46"/>
      <c r="H159" s="46"/>
      <c r="I159" s="46"/>
      <c r="J159" s="46"/>
      <c r="K159" s="46"/>
      <c r="L159" s="46"/>
    </row>
    <row r="160" spans="1:35" s="26" customFormat="1">
      <c r="B160" s="46"/>
      <c r="C160" s="46"/>
      <c r="D160" s="46"/>
      <c r="E160" s="46"/>
      <c r="F160" s="46"/>
      <c r="G160" s="46"/>
      <c r="H160" s="46"/>
      <c r="I160" s="46"/>
      <c r="J160" s="46"/>
      <c r="K160" s="46"/>
      <c r="L160" s="46"/>
    </row>
    <row r="161" spans="1:35" s="26" customFormat="1"/>
    <row r="162" spans="1:35" s="26" customFormat="1"/>
    <row r="163" spans="1:35" s="26" customFormat="1"/>
    <row r="164" spans="1:35" s="26" customFormat="1"/>
    <row r="165" spans="1:35" s="26" customFormat="1"/>
    <row r="166" spans="1:35" s="26" customFormat="1"/>
    <row r="167" spans="1: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spans="1: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B6" sqref="B6"/>
    </sheetView>
  </sheetViews>
  <sheetFormatPr defaultColWidth="9.1328125" defaultRowHeight="14.25"/>
  <cols>
    <col min="1" max="1" width="39.796875" style="5" customWidth="1"/>
    <col min="2" max="2" width="9.6640625" style="5"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Calculations'!B337*1000000000000</f>
        <v>1934730321493.9675</v>
      </c>
      <c r="C2" s="21">
        <f>'TX Calculations'!C337*1000000000000</f>
        <v>1930435602669.5027</v>
      </c>
      <c r="D2" s="21">
        <f>'TX Calculations'!D337*1000000000000</f>
        <v>1926140883845.0376</v>
      </c>
      <c r="E2" s="21">
        <f>'TX Calculations'!E337*1000000000000</f>
        <v>1921846165020.5728</v>
      </c>
      <c r="F2" s="21">
        <f>'TX Calculations'!F337*1000000000000</f>
        <v>1917551446196.1077</v>
      </c>
      <c r="G2" s="21">
        <f>'TX Calculations'!G337*1000000000000</f>
        <v>1913256727371.6426</v>
      </c>
      <c r="H2" s="21">
        <f>'TX Calculations'!H337*1000000000000</f>
        <v>1908962008547.1777</v>
      </c>
      <c r="I2" s="21">
        <f>'TX Calculations'!I337*1000000000000</f>
        <v>1904667289722.7126</v>
      </c>
      <c r="J2" s="21">
        <f>'TX Calculations'!J337*1000000000000</f>
        <v>1900372570898.2478</v>
      </c>
      <c r="K2" s="21">
        <f>'TX Calculations'!K337*1000000000000</f>
        <v>1896077852073.7832</v>
      </c>
      <c r="L2" s="21">
        <f>'TX Calculations'!L337*1000000000000</f>
        <v>1891783133249.3181</v>
      </c>
      <c r="M2" s="21">
        <f>'TX Calculations'!M337*1000000000000</f>
        <v>1887488414424.8533</v>
      </c>
      <c r="N2" s="21">
        <f>'TX Calculations'!N337*1000000000000</f>
        <v>1883193695600.3882</v>
      </c>
      <c r="O2" s="21">
        <f>'TX Calculations'!O337*1000000000000</f>
        <v>1878898976775.9231</v>
      </c>
      <c r="P2" s="21">
        <f>'TX Calculations'!P337*1000000000000</f>
        <v>1874604257951.4583</v>
      </c>
      <c r="Q2" s="21">
        <f>'TX Calculations'!Q337*1000000000000</f>
        <v>1870309539126.9932</v>
      </c>
      <c r="R2" s="21">
        <f>'TX Calculations'!R337*1000000000000</f>
        <v>1866014820302.5281</v>
      </c>
      <c r="S2" s="21">
        <f>'TX Calculations'!S337*1000000000000</f>
        <v>1861720101478.063</v>
      </c>
      <c r="T2" s="21">
        <f>'TX Calculations'!T337*1000000000000</f>
        <v>1857425382653.5981</v>
      </c>
      <c r="U2" s="21">
        <f>'TX Calculations'!U337*1000000000000</f>
        <v>1853130663829.1331</v>
      </c>
      <c r="V2" s="21">
        <f>'TX Calculations'!V337*1000000000000</f>
        <v>1848835945004.668</v>
      </c>
      <c r="W2" s="21">
        <f>'TX Calculations'!W337*1000000000000</f>
        <v>1844541226180.2031</v>
      </c>
      <c r="X2" s="21">
        <f>'TX Calculations'!X337*1000000000000</f>
        <v>1840246507355.738</v>
      </c>
      <c r="Y2" s="21">
        <f>'TX Calculations'!Y337*1000000000000</f>
        <v>1835951788531.2729</v>
      </c>
      <c r="Z2" s="21">
        <f>'TX Calculations'!Z337*1000000000000</f>
        <v>1831657069706.8081</v>
      </c>
      <c r="AA2" s="21">
        <f>'TX Calculations'!AA337*1000000000000</f>
        <v>1827362350882.3433</v>
      </c>
      <c r="AB2" s="21">
        <f>'TX Calculations'!AB337*1000000000000</f>
        <v>1823067632057.8784</v>
      </c>
      <c r="AC2" s="21">
        <f>'TX Calculations'!AC337*1000000000000</f>
        <v>1818772913233.4133</v>
      </c>
      <c r="AD2" s="21">
        <f>'TX Calculations'!AD337*1000000000000</f>
        <v>1814478194408.9482</v>
      </c>
      <c r="AE2" s="21">
        <f>'TX Calculations'!AE337*1000000000000</f>
        <v>1810183475584.4834</v>
      </c>
      <c r="AF2" s="21">
        <f>'TX Calculations'!AF337*1000000000000</f>
        <v>1805888756760.0183</v>
      </c>
      <c r="AG2" s="21">
        <f>'TX Calculations'!AG337*1000000000000</f>
        <v>1801594037935.5535</v>
      </c>
      <c r="AH2" s="21">
        <f>'TX Calculations'!AH337*1000000000000</f>
        <v>1797299319111.0884</v>
      </c>
      <c r="AI2" s="21">
        <f>'TX Calculations'!AI337*1000000000000</f>
        <v>1793004600286.6248</v>
      </c>
    </row>
    <row r="3" spans="1:35">
      <c r="A3" s="5" t="s">
        <v>567</v>
      </c>
      <c r="B3" s="21">
        <f>'TX Calculations'!B350*1000000000000</f>
        <v>4260490723790.8628</v>
      </c>
      <c r="C3" s="21">
        <f>'TX Calculations'!C350*1000000000000</f>
        <v>4251033276667.7959</v>
      </c>
      <c r="D3" s="21">
        <f>'TX Calculations'!D350*1000000000000</f>
        <v>4241575829544.729</v>
      </c>
      <c r="E3" s="21">
        <f>'TX Calculations'!E350*1000000000000</f>
        <v>4232118382421.6631</v>
      </c>
      <c r="F3" s="21">
        <f>'TX Calculations'!F350*1000000000000</f>
        <v>4222660935298.5962</v>
      </c>
      <c r="G3" s="21">
        <f>'TX Calculations'!G350*1000000000000</f>
        <v>4213203488175.5293</v>
      </c>
      <c r="H3" s="21">
        <f>'TX Calculations'!H350*1000000000000</f>
        <v>4203746041052.4624</v>
      </c>
      <c r="I3" s="21">
        <f>'TX Calculations'!I350*1000000000000</f>
        <v>4194288593929.3955</v>
      </c>
      <c r="J3" s="21">
        <f>'TX Calculations'!J350*1000000000000</f>
        <v>4184831146806.3286</v>
      </c>
      <c r="K3" s="21">
        <f>'TX Calculations'!K350*1000000000000</f>
        <v>4175373699683.2627</v>
      </c>
      <c r="L3" s="21">
        <f>'TX Calculations'!L350*1000000000000</f>
        <v>4165916252560.1958</v>
      </c>
      <c r="M3" s="21">
        <f>'TX Calculations'!M350*1000000000000</f>
        <v>4156458805437.1294</v>
      </c>
      <c r="N3" s="21">
        <f>'TX Calculations'!N350*1000000000000</f>
        <v>4147001358314.0625</v>
      </c>
      <c r="O3" s="21">
        <f>'TX Calculations'!O350*1000000000000</f>
        <v>4137543911190.9956</v>
      </c>
      <c r="P3" s="21">
        <f>'TX Calculations'!P350*1000000000000</f>
        <v>4128086464067.9287</v>
      </c>
      <c r="Q3" s="21">
        <f>'TX Calculations'!Q350*1000000000000</f>
        <v>4118629016944.8628</v>
      </c>
      <c r="R3" s="21">
        <f>'TX Calculations'!R350*1000000000000</f>
        <v>4109171569821.7959</v>
      </c>
      <c r="S3" s="21">
        <f>'TX Calculations'!S350*1000000000000</f>
        <v>4099714122698.729</v>
      </c>
      <c r="T3" s="21">
        <f>'TX Calculations'!T350*1000000000000</f>
        <v>4090256675575.6621</v>
      </c>
      <c r="U3" s="21">
        <f>'TX Calculations'!U350*1000000000000</f>
        <v>4080799228452.5952</v>
      </c>
      <c r="V3" s="21">
        <f>'TX Calculations'!V350*1000000000000</f>
        <v>4071341781329.5283</v>
      </c>
      <c r="W3" s="21">
        <f>'TX Calculations'!W350*1000000000000</f>
        <v>4061884334206.4624</v>
      </c>
      <c r="X3" s="21">
        <f>'TX Calculations'!X350*1000000000000</f>
        <v>4052426887083.3955</v>
      </c>
      <c r="Y3" s="21">
        <f>'TX Calculations'!Y350*1000000000000</f>
        <v>4042969439960.3291</v>
      </c>
      <c r="Z3" s="21">
        <f>'TX Calculations'!Z350*1000000000000</f>
        <v>4033511992837.2622</v>
      </c>
      <c r="AA3" s="21">
        <f>'TX Calculations'!AA350*1000000000000</f>
        <v>4024054545714.1953</v>
      </c>
      <c r="AB3" s="21">
        <f>'TX Calculations'!AB350*1000000000000</f>
        <v>4014597098591.1284</v>
      </c>
      <c r="AC3" s="21">
        <f>'TX Calculations'!AC350*1000000000000</f>
        <v>4005139651468.0625</v>
      </c>
      <c r="AD3" s="21">
        <f>'TX Calculations'!AD350*1000000000000</f>
        <v>3995682204344.9956</v>
      </c>
      <c r="AE3" s="21">
        <f>'TX Calculations'!AE350*1000000000000</f>
        <v>3986224757221.9287</v>
      </c>
      <c r="AF3" s="21">
        <f>'TX Calculations'!AF350*1000000000000</f>
        <v>3976767310098.8618</v>
      </c>
      <c r="AG3" s="21">
        <f>'TX Calculations'!AG350*1000000000000</f>
        <v>3967309862975.7954</v>
      </c>
      <c r="AH3" s="21">
        <f>'TX Calculations'!AH350*1000000000000</f>
        <v>3957852415852.7285</v>
      </c>
      <c r="AI3" s="21">
        <f>'TX Calculations'!AI350*1000000000000</f>
        <v>3948394968729.6646</v>
      </c>
    </row>
    <row r="4" spans="1:35">
      <c r="A4" s="5" t="s">
        <v>568</v>
      </c>
      <c r="B4" s="21">
        <f>'TX Calculations'!B363*1000000000000</f>
        <v>1243755206674.6934</v>
      </c>
      <c r="C4" s="21">
        <f>'TX Calculations'!C363*1000000000000</f>
        <v>1240994316001.823</v>
      </c>
      <c r="D4" s="21">
        <f>'TX Calculations'!D363*1000000000000</f>
        <v>1238233425328.9526</v>
      </c>
      <c r="E4" s="21">
        <f>'TX Calculations'!E363*1000000000000</f>
        <v>1235472534656.0825</v>
      </c>
      <c r="F4" s="21">
        <f>'TX Calculations'!F363*1000000000000</f>
        <v>1232711643983.2119</v>
      </c>
      <c r="G4" s="21">
        <f>'TX Calculations'!G363*1000000000000</f>
        <v>1229950753310.3418</v>
      </c>
      <c r="H4" s="21">
        <f>'TX Calculations'!H363*1000000000000</f>
        <v>1227189862637.4714</v>
      </c>
      <c r="I4" s="21">
        <f>'TX Calculations'!I363*1000000000000</f>
        <v>1224428971964.6008</v>
      </c>
      <c r="J4" s="21">
        <f>'TX Calculations'!J363*1000000000000</f>
        <v>1221668081291.7307</v>
      </c>
      <c r="K4" s="21">
        <f>'TX Calculations'!K363*1000000000000</f>
        <v>1218907190618.8601</v>
      </c>
      <c r="L4" s="21">
        <f>'TX Calculations'!L363*1000000000000</f>
        <v>1216146299945.99</v>
      </c>
      <c r="M4" s="21">
        <f>'TX Calculations'!M363*1000000000000</f>
        <v>1213385409273.1196</v>
      </c>
      <c r="N4" s="21">
        <f>'TX Calculations'!N363*1000000000000</f>
        <v>1210624518600.2493</v>
      </c>
      <c r="O4" s="21">
        <f>'TX Calculations'!O363*1000000000000</f>
        <v>1207863627927.3789</v>
      </c>
      <c r="P4" s="21">
        <f>'TX Calculations'!P363*1000000000000</f>
        <v>1205102737254.5088</v>
      </c>
      <c r="Q4" s="21">
        <f>'TX Calculations'!Q363*1000000000000</f>
        <v>1202341846581.6382</v>
      </c>
      <c r="R4" s="21">
        <f>'TX Calculations'!R363*1000000000000</f>
        <v>1199580955908.7681</v>
      </c>
      <c r="S4" s="21">
        <f>'TX Calculations'!S363*1000000000000</f>
        <v>1196820065235.8975</v>
      </c>
      <c r="T4" s="21">
        <f>'TX Calculations'!T363*1000000000000</f>
        <v>1194059174563.0271</v>
      </c>
      <c r="U4" s="21">
        <f>'TX Calculations'!U363*1000000000000</f>
        <v>1191298283890.157</v>
      </c>
      <c r="V4" s="21">
        <f>'TX Calculations'!V363*1000000000000</f>
        <v>1188537393217.2864</v>
      </c>
      <c r="W4" s="21">
        <f>'TX Calculations'!W363*1000000000000</f>
        <v>1185776502544.4163</v>
      </c>
      <c r="X4" s="21">
        <f>'TX Calculations'!X363*1000000000000</f>
        <v>1183015611871.5459</v>
      </c>
      <c r="Y4" s="21">
        <f>'TX Calculations'!Y363*1000000000000</f>
        <v>1180254721198.6755</v>
      </c>
      <c r="Z4" s="21">
        <f>'TX Calculations'!Z363*1000000000000</f>
        <v>1177493830525.8052</v>
      </c>
      <c r="AA4" s="21">
        <f>'TX Calculations'!AA363*1000000000000</f>
        <v>1174732939852.9348</v>
      </c>
      <c r="AB4" s="21">
        <f>'TX Calculations'!AB363*1000000000000</f>
        <v>1171972049180.0645</v>
      </c>
      <c r="AC4" s="21">
        <f>'TX Calculations'!AC363*1000000000000</f>
        <v>1169211158507.1943</v>
      </c>
      <c r="AD4" s="21">
        <f>'TX Calculations'!AD363*1000000000000</f>
        <v>1166450267834.3237</v>
      </c>
      <c r="AE4" s="21">
        <f>'TX Calculations'!AE363*1000000000000</f>
        <v>1163689377161.4534</v>
      </c>
      <c r="AF4" s="21">
        <f>'TX Calculations'!AF363*1000000000000</f>
        <v>1160928486488.5833</v>
      </c>
      <c r="AG4" s="21">
        <f>'TX Calculations'!AG363*1000000000000</f>
        <v>1158167595815.7126</v>
      </c>
      <c r="AH4" s="21">
        <f>'TX Calculations'!AH363*1000000000000</f>
        <v>1155406705142.8425</v>
      </c>
      <c r="AI4" s="21">
        <f>'TX Calculations'!AI363*1000000000000</f>
        <v>1152645814469.9729</v>
      </c>
    </row>
    <row r="5" spans="1:35">
      <c r="A5" s="5" t="s">
        <v>569</v>
      </c>
      <c r="B5" s="21">
        <f>'TX Calculations'!B376*1000000000000</f>
        <v>1678082421703.9514</v>
      </c>
      <c r="C5" s="21">
        <f>'TX Calculations'!C376*1000000000000</f>
        <v>1674357410478.6504</v>
      </c>
      <c r="D5" s="21">
        <f>'TX Calculations'!D376*1000000000000</f>
        <v>1670632399253.3489</v>
      </c>
      <c r="E5" s="21">
        <f>'TX Calculations'!E376*1000000000000</f>
        <v>1666907388028.0476</v>
      </c>
      <c r="F5" s="21">
        <f>'TX Calculations'!F376*1000000000000</f>
        <v>1663182376802.7466</v>
      </c>
      <c r="G5" s="21">
        <f>'TX Calculations'!G376*1000000000000</f>
        <v>1659457365577.4451</v>
      </c>
      <c r="H5" s="21">
        <f>'TX Calculations'!H376*1000000000000</f>
        <v>1655732354352.1438</v>
      </c>
      <c r="I5" s="21">
        <f>'TX Calculations'!I376*1000000000000</f>
        <v>1652007343126.8428</v>
      </c>
      <c r="J5" s="21">
        <f>'TX Calculations'!J376*1000000000000</f>
        <v>1648282331901.5415</v>
      </c>
      <c r="K5" s="21">
        <f>'TX Calculations'!K376*1000000000000</f>
        <v>1644557320676.2402</v>
      </c>
      <c r="L5" s="21">
        <f>'TX Calculations'!L376*1000000000000</f>
        <v>1640832309450.939</v>
      </c>
      <c r="M5" s="21">
        <f>'TX Calculations'!M376*1000000000000</f>
        <v>1637107298225.6377</v>
      </c>
      <c r="N5" s="21">
        <f>'TX Calculations'!N376*1000000000000</f>
        <v>1633382287000.3364</v>
      </c>
      <c r="O5" s="21">
        <f>'TX Calculations'!O376*1000000000000</f>
        <v>1629657275775.0352</v>
      </c>
      <c r="P5" s="21">
        <f>'TX Calculations'!P376*1000000000000</f>
        <v>1625932264549.7339</v>
      </c>
      <c r="Q5" s="21">
        <f>'TX Calculations'!Q376*1000000000000</f>
        <v>1622207253324.4326</v>
      </c>
      <c r="R5" s="21">
        <f>'TX Calculations'!R376*1000000000000</f>
        <v>1618482242099.1313</v>
      </c>
      <c r="S5" s="21">
        <f>'TX Calculations'!S376*1000000000000</f>
        <v>1614757230873.8301</v>
      </c>
      <c r="T5" s="21">
        <f>'TX Calculations'!T376*1000000000000</f>
        <v>1611032219648.5291</v>
      </c>
      <c r="U5" s="21">
        <f>'TX Calculations'!U376*1000000000000</f>
        <v>1607307208423.2275</v>
      </c>
      <c r="V5" s="21">
        <f>'TX Calculations'!V376*1000000000000</f>
        <v>1603582197197.9265</v>
      </c>
      <c r="W5" s="21">
        <f>'TX Calculations'!W376*1000000000000</f>
        <v>1599857185972.6252</v>
      </c>
      <c r="X5" s="21">
        <f>'TX Calculations'!X376*1000000000000</f>
        <v>1596132174747.3237</v>
      </c>
      <c r="Y5" s="21">
        <f>'TX Calculations'!Y376*1000000000000</f>
        <v>1592407163522.0227</v>
      </c>
      <c r="Z5" s="21">
        <f>'TX Calculations'!Z376*1000000000000</f>
        <v>1588682152296.7214</v>
      </c>
      <c r="AA5" s="21">
        <f>'TX Calculations'!AA376*1000000000000</f>
        <v>1584957141071.4202</v>
      </c>
      <c r="AB5" s="21">
        <f>'TX Calculations'!AB376*1000000000000</f>
        <v>1581232129846.1189</v>
      </c>
      <c r="AC5" s="21">
        <f>'TX Calculations'!AC376*1000000000000</f>
        <v>1577507118620.8176</v>
      </c>
      <c r="AD5" s="21">
        <f>'TX Calculations'!AD376*1000000000000</f>
        <v>1573782107395.5164</v>
      </c>
      <c r="AE5" s="21">
        <f>'TX Calculations'!AE376*1000000000000</f>
        <v>1570057096170.2151</v>
      </c>
      <c r="AF5" s="21">
        <f>'TX Calculations'!AF376*1000000000000</f>
        <v>1566332084944.9138</v>
      </c>
      <c r="AG5" s="21">
        <f>'TX Calculations'!AG376*1000000000000</f>
        <v>1562607073719.6125</v>
      </c>
      <c r="AH5" s="21">
        <f>'TX Calculations'!AH376*1000000000000</f>
        <v>1558882062494.3113</v>
      </c>
      <c r="AI5" s="21">
        <f>'TX Calculations'!AI376*1000000000000</f>
        <v>1555157051269.011</v>
      </c>
    </row>
    <row r="6" spans="1:35">
      <c r="A6" s="5" t="s">
        <v>570</v>
      </c>
      <c r="B6" s="21">
        <f>'TX Calculations'!B389*1000000000000</f>
        <v>85630107676.708771</v>
      </c>
      <c r="C6" s="21">
        <f>'TX Calculations'!C389*1000000000000</f>
        <v>85440025766.4319</v>
      </c>
      <c r="D6" s="21">
        <f>'TX Calculations'!D389*1000000000000</f>
        <v>85249943856.15506</v>
      </c>
      <c r="E6" s="21">
        <f>'TX Calculations'!E389*1000000000000</f>
        <v>81514148918.304031</v>
      </c>
      <c r="F6" s="21">
        <f>'TX Calculations'!F389*1000000000000</f>
        <v>75021012615.978287</v>
      </c>
      <c r="G6" s="21">
        <f>'TX Calculations'!G389*1000000000000</f>
        <v>70406002278.56311</v>
      </c>
      <c r="H6" s="21">
        <f>'TX Calculations'!H389*1000000000000</f>
        <v>66242351529.93409</v>
      </c>
      <c r="I6" s="21">
        <f>'TX Calculations'!I389*1000000000000</f>
        <v>61459767960.423752</v>
      </c>
      <c r="J6" s="21">
        <f>'TX Calculations'!J389*1000000000000</f>
        <v>56150090406.323242</v>
      </c>
      <c r="K6" s="21">
        <f>'TX Calculations'!K389*1000000000000</f>
        <v>50592752672.840538</v>
      </c>
      <c r="L6" s="21">
        <f>'TX Calculations'!L389*1000000000000</f>
        <v>45013869809.517044</v>
      </c>
      <c r="M6" s="21">
        <f>'TX Calculations'!M389*1000000000000</f>
        <v>39430852022.284706</v>
      </c>
      <c r="N6" s="21">
        <f>'TX Calculations'!N389*1000000000000</f>
        <v>33821936553.728565</v>
      </c>
      <c r="O6" s="21">
        <f>'TX Calculations'!O389*1000000000000</f>
        <v>28213456340.320728</v>
      </c>
      <c r="P6" s="21">
        <f>'TX Calculations'!P389*1000000000000</f>
        <v>22599100182.410851</v>
      </c>
      <c r="Q6" s="21">
        <f>'TX Calculations'!Q389*1000000000000</f>
        <v>16985005177.589958</v>
      </c>
      <c r="R6" s="21">
        <f>'TX Calculations'!R389*1000000000000</f>
        <v>11366884062.647297</v>
      </c>
      <c r="S6" s="21">
        <f>'TX Calculations'!S389*1000000000000</f>
        <v>5747152503.6559258</v>
      </c>
      <c r="T6" s="21">
        <f>'TX Calculations'!T389*1000000000000</f>
        <v>126208541.44896956</v>
      </c>
      <c r="U6" s="21">
        <f>'TX Calculations'!U389*1000000000000</f>
        <v>114689949.2043826</v>
      </c>
      <c r="V6" s="21">
        <f>'TX Calculations'!V389*1000000000000</f>
        <v>114692343.10769823</v>
      </c>
      <c r="W6" s="21">
        <f>'TX Calculations'!W389*1000000000000</f>
        <v>114703006.85883157</v>
      </c>
      <c r="X6" s="21">
        <f>'TX Calculations'!X389*1000000000000</f>
        <v>114713888.23753904</v>
      </c>
      <c r="Y6" s="21">
        <f>'TX Calculations'!Y389*1000000000000</f>
        <v>114724551.98867236</v>
      </c>
      <c r="Z6" s="21">
        <f>'TX Calculations'!Z389*1000000000000</f>
        <v>114735215.7398057</v>
      </c>
      <c r="AA6" s="21">
        <f>'TX Calculations'!AA389*1000000000000</f>
        <v>114746097.11851317</v>
      </c>
      <c r="AB6" s="21">
        <f>'TX Calculations'!AB389*1000000000000</f>
        <v>114756760.86964649</v>
      </c>
      <c r="AC6" s="21">
        <f>'TX Calculations'!AC389*1000000000000</f>
        <v>114767642.24835396</v>
      </c>
      <c r="AD6" s="21">
        <f>'TX Calculations'!AD389*1000000000000</f>
        <v>114778305.99948728</v>
      </c>
      <c r="AE6" s="21">
        <f>'TX Calculations'!AE389*1000000000000</f>
        <v>114788969.75062062</v>
      </c>
      <c r="AF6" s="21">
        <f>'TX Calculations'!AF389*1000000000000</f>
        <v>114799633.50175396</v>
      </c>
      <c r="AG6" s="21">
        <f>'TX Calculations'!AG389*1000000000000</f>
        <v>114810514.88046142</v>
      </c>
      <c r="AH6" s="21">
        <f>'TX Calculations'!AH389*1000000000000</f>
        <v>114821178.63159475</v>
      </c>
      <c r="AI6" s="21">
        <f>'TX Calculations'!AI389*1000000000000</f>
        <v>114831842.38272807</v>
      </c>
    </row>
    <row r="7" spans="1:35">
      <c r="A7" s="5" t="s">
        <v>571</v>
      </c>
      <c r="B7" s="21">
        <f>'TX Calculations'!B402*1000000000000</f>
        <v>0</v>
      </c>
      <c r="C7" s="21">
        <f>'TX Calculations'!C402*1000000000000</f>
        <v>0</v>
      </c>
      <c r="D7" s="21">
        <f>'TX Calculations'!D402*1000000000000</f>
        <v>0</v>
      </c>
      <c r="E7" s="21">
        <f>'TX Calculations'!E402*1000000000000</f>
        <v>0</v>
      </c>
      <c r="F7" s="21">
        <f>'TX Calculations'!F402*1000000000000</f>
        <v>0</v>
      </c>
      <c r="G7" s="21">
        <f>'TX Calculations'!G402*1000000000000</f>
        <v>0</v>
      </c>
      <c r="H7" s="21">
        <f>'TX Calculations'!H402*1000000000000</f>
        <v>0</v>
      </c>
      <c r="I7" s="21">
        <f>'TX Calculations'!I402*1000000000000</f>
        <v>0</v>
      </c>
      <c r="J7" s="21">
        <f>'TX Calculations'!J402*1000000000000</f>
        <v>0</v>
      </c>
      <c r="K7" s="21">
        <f>'TX Calculations'!K402*1000000000000</f>
        <v>0</v>
      </c>
      <c r="L7" s="21">
        <f>'TX Calculations'!L402*1000000000000</f>
        <v>0</v>
      </c>
      <c r="M7" s="21">
        <f>'TX Calculations'!M402*1000000000000</f>
        <v>0</v>
      </c>
      <c r="N7" s="21">
        <f>'TX Calculations'!N402*1000000000000</f>
        <v>0</v>
      </c>
      <c r="O7" s="21">
        <f>'TX Calculations'!O402*1000000000000</f>
        <v>0</v>
      </c>
      <c r="P7" s="21">
        <f>'TX Calculations'!P402*1000000000000</f>
        <v>0</v>
      </c>
      <c r="Q7" s="21">
        <f>'TX Calculations'!Q402*1000000000000</f>
        <v>0</v>
      </c>
      <c r="R7" s="21">
        <f>'TX Calculations'!R402*1000000000000</f>
        <v>0</v>
      </c>
      <c r="S7" s="21">
        <f>'TX Calculations'!S402*1000000000000</f>
        <v>0</v>
      </c>
      <c r="T7" s="21">
        <f>'TX Calculations'!T402*1000000000000</f>
        <v>0</v>
      </c>
      <c r="U7" s="21">
        <f>'TX Calculations'!U402*1000000000000</f>
        <v>0</v>
      </c>
      <c r="V7" s="21">
        <f>'TX Calculations'!V402*1000000000000</f>
        <v>0</v>
      </c>
      <c r="W7" s="21">
        <f>'TX Calculations'!W402*1000000000000</f>
        <v>0</v>
      </c>
      <c r="X7" s="21">
        <f>'TX Calculations'!X402*1000000000000</f>
        <v>0</v>
      </c>
      <c r="Y7" s="21">
        <f>'TX Calculations'!Y402*1000000000000</f>
        <v>0</v>
      </c>
      <c r="Z7" s="21">
        <f>'TX Calculations'!Z402*1000000000000</f>
        <v>0</v>
      </c>
      <c r="AA7" s="21">
        <f>'TX Calculations'!AA402*1000000000000</f>
        <v>0</v>
      </c>
      <c r="AB7" s="21">
        <f>'TX Calculations'!AB402*1000000000000</f>
        <v>0</v>
      </c>
      <c r="AC7" s="21">
        <f>'TX Calculations'!AC402*1000000000000</f>
        <v>0</v>
      </c>
      <c r="AD7" s="21">
        <f>'TX Calculations'!AD402*1000000000000</f>
        <v>0</v>
      </c>
      <c r="AE7" s="21">
        <f>'TX Calculations'!AE402*1000000000000</f>
        <v>0</v>
      </c>
      <c r="AF7" s="21">
        <f>'TX Calculations'!AF402*1000000000000</f>
        <v>0</v>
      </c>
      <c r="AG7" s="21">
        <f>'TX Calculations'!AG402*1000000000000</f>
        <v>0</v>
      </c>
      <c r="AH7" s="21">
        <f>'TX Calculations'!AH402*1000000000000</f>
        <v>0</v>
      </c>
      <c r="AI7" s="21">
        <f>'TX Calculations'!AI402*1000000000000</f>
        <v>0</v>
      </c>
    </row>
    <row r="8" spans="1:35">
      <c r="A8" s="5" t="s">
        <v>572</v>
      </c>
      <c r="B8" s="21">
        <f>'TX Calculations'!B415*1000000000000</f>
        <v>0</v>
      </c>
      <c r="C8" s="21">
        <f>'TX Calculations'!C415*1000000000000</f>
        <v>0</v>
      </c>
      <c r="D8" s="21">
        <f>'TX Calculations'!D415*1000000000000</f>
        <v>0</v>
      </c>
      <c r="E8" s="21">
        <f>'TX Calculations'!E415*1000000000000</f>
        <v>0</v>
      </c>
      <c r="F8" s="21">
        <f>'TX Calculations'!F415*1000000000000</f>
        <v>0</v>
      </c>
      <c r="G8" s="21">
        <f>'TX Calculations'!G415*1000000000000</f>
        <v>0</v>
      </c>
      <c r="H8" s="21">
        <f>'TX Calculations'!H415*1000000000000</f>
        <v>0</v>
      </c>
      <c r="I8" s="21">
        <f>'TX Calculations'!I415*1000000000000</f>
        <v>0</v>
      </c>
      <c r="J8" s="21">
        <f>'TX Calculations'!J415*1000000000000</f>
        <v>0</v>
      </c>
      <c r="K8" s="21">
        <f>'TX Calculations'!K415*1000000000000</f>
        <v>0</v>
      </c>
      <c r="L8" s="21">
        <f>'TX Calculations'!L415*1000000000000</f>
        <v>0</v>
      </c>
      <c r="M8" s="21">
        <f>'TX Calculations'!M415*1000000000000</f>
        <v>0</v>
      </c>
      <c r="N8" s="21">
        <f>'TX Calculations'!N415*1000000000000</f>
        <v>0</v>
      </c>
      <c r="O8" s="21">
        <f>'TX Calculations'!O415*1000000000000</f>
        <v>0</v>
      </c>
      <c r="P8" s="21">
        <f>'TX Calculations'!P415*1000000000000</f>
        <v>0</v>
      </c>
      <c r="Q8" s="21">
        <f>'TX Calculations'!Q415*1000000000000</f>
        <v>0</v>
      </c>
      <c r="R8" s="21">
        <f>'TX Calculations'!R415*1000000000000</f>
        <v>0</v>
      </c>
      <c r="S8" s="21">
        <f>'TX Calculations'!S415*1000000000000</f>
        <v>0</v>
      </c>
      <c r="T8" s="21">
        <f>'TX Calculations'!T415*1000000000000</f>
        <v>0</v>
      </c>
      <c r="U8" s="21">
        <f>'TX Calculations'!U415*1000000000000</f>
        <v>0</v>
      </c>
      <c r="V8" s="21">
        <f>'TX Calculations'!V415*1000000000000</f>
        <v>0</v>
      </c>
      <c r="W8" s="21">
        <f>'TX Calculations'!W415*1000000000000</f>
        <v>0</v>
      </c>
      <c r="X8" s="21">
        <f>'TX Calculations'!X415*1000000000000</f>
        <v>0</v>
      </c>
      <c r="Y8" s="21">
        <f>'TX Calculations'!Y415*1000000000000</f>
        <v>0</v>
      </c>
      <c r="Z8" s="21">
        <f>'TX Calculations'!Z415*1000000000000</f>
        <v>0</v>
      </c>
      <c r="AA8" s="21">
        <f>'TX Calculations'!AA415*1000000000000</f>
        <v>0</v>
      </c>
      <c r="AB8" s="21">
        <f>'TX Calculations'!AB415*1000000000000</f>
        <v>0</v>
      </c>
      <c r="AC8" s="21">
        <f>'TX Calculations'!AC415*1000000000000</f>
        <v>0</v>
      </c>
      <c r="AD8" s="21">
        <f>'TX Calculations'!AD415*1000000000000</f>
        <v>0</v>
      </c>
      <c r="AE8" s="21">
        <f>'TX Calculations'!AE415*1000000000000</f>
        <v>0</v>
      </c>
      <c r="AF8" s="21">
        <f>'TX Calculations'!AF415*1000000000000</f>
        <v>0</v>
      </c>
      <c r="AG8" s="21">
        <f>'TX Calculations'!AG415*1000000000000</f>
        <v>0</v>
      </c>
      <c r="AH8" s="21">
        <f>'TX Calculations'!AH415*1000000000000</f>
        <v>0</v>
      </c>
      <c r="AI8" s="21">
        <f>'TX Calculations'!AI415*1000000000000</f>
        <v>0</v>
      </c>
    </row>
    <row r="9" spans="1:35">
      <c r="A9" s="5" t="s">
        <v>573</v>
      </c>
      <c r="B9" s="21">
        <f>'TX Calculations'!B428*1000000000000</f>
        <v>3297311218659.8159</v>
      </c>
      <c r="C9" s="21">
        <f>'TX Calculations'!C428*1000000000000</f>
        <v>3289991839621.0024</v>
      </c>
      <c r="D9" s="21">
        <f>'TX Calculations'!D428*1000000000000</f>
        <v>3282672460582.1909</v>
      </c>
      <c r="E9" s="21">
        <f>'TX Calculations'!E428*1000000000000</f>
        <v>3278898794570.9531</v>
      </c>
      <c r="F9" s="21">
        <f>'TX Calculations'!F428*1000000000000</f>
        <v>3277882469924.1885</v>
      </c>
      <c r="G9" s="21">
        <f>'TX Calculations'!G428*1000000000000</f>
        <v>3274988019312.5146</v>
      </c>
      <c r="H9" s="21">
        <f>'TX Calculations'!H428*1000000000000</f>
        <v>3271642209112.0537</v>
      </c>
      <c r="I9" s="21">
        <f>'TX Calculations'!I428*1000000000000</f>
        <v>3268915331732.4761</v>
      </c>
      <c r="J9" s="21">
        <f>'TX Calculations'!J428*1000000000000</f>
        <v>3266715548337.4868</v>
      </c>
      <c r="K9" s="21">
        <f>'TX Calculations'!K428*1000000000000</f>
        <v>3264763425121.8794</v>
      </c>
      <c r="L9" s="21">
        <f>'TX Calculations'!L428*1000000000000</f>
        <v>3262832847036.1138</v>
      </c>
      <c r="M9" s="21">
        <f>'TX Calculations'!M428*1000000000000</f>
        <v>3260906403874.2568</v>
      </c>
      <c r="N9" s="21">
        <f>'TX Calculations'!N428*1000000000000</f>
        <v>3259005858393.7241</v>
      </c>
      <c r="O9" s="21">
        <f>'TX Calculations'!O428*1000000000000</f>
        <v>3257104877658.0425</v>
      </c>
      <c r="P9" s="21">
        <f>'TX Calculations'!P428*1000000000000</f>
        <v>3255209772866.8628</v>
      </c>
      <c r="Q9" s="21">
        <f>'TX Calculations'!Q428*1000000000000</f>
        <v>3253314406922.5947</v>
      </c>
      <c r="R9" s="21">
        <f>'TX Calculations'!R428*1000000000000</f>
        <v>3251423067088.4478</v>
      </c>
      <c r="S9" s="21">
        <f>'TX Calculations'!S428*1000000000000</f>
        <v>3249533337698.3506</v>
      </c>
      <c r="T9" s="21">
        <f>'TX Calculations'!T428*1000000000000</f>
        <v>3247644820711.4678</v>
      </c>
      <c r="U9" s="21">
        <f>'TX Calculations'!U428*1000000000000</f>
        <v>3240146878354.624</v>
      </c>
      <c r="V9" s="21">
        <f>'TX Calculations'!V428*1000000000000</f>
        <v>3232637415011.6309</v>
      </c>
      <c r="W9" s="21">
        <f>'TX Calculations'!W428*1000000000000</f>
        <v>3225127943398.7905</v>
      </c>
      <c r="X9" s="21">
        <f>'TX Calculations'!X428*1000000000000</f>
        <v>3217618471568.3223</v>
      </c>
      <c r="Y9" s="21">
        <f>'TX Calculations'!Y428*1000000000000</f>
        <v>3210108999955.4819</v>
      </c>
      <c r="Z9" s="21">
        <f>'TX Calculations'!Z428*1000000000000</f>
        <v>3202599528342.6401</v>
      </c>
      <c r="AA9" s="21">
        <f>'TX Calculations'!AA428*1000000000000</f>
        <v>3195090056512.1733</v>
      </c>
      <c r="AB9" s="21">
        <f>'TX Calculations'!AB428*1000000000000</f>
        <v>3187580584899.333</v>
      </c>
      <c r="AC9" s="21">
        <f>'TX Calculations'!AC428*1000000000000</f>
        <v>3180071113068.8643</v>
      </c>
      <c r="AD9" s="21">
        <f>'TX Calculations'!AD428*1000000000000</f>
        <v>3172561641456.0244</v>
      </c>
      <c r="AE9" s="21">
        <f>'TX Calculations'!AE428*1000000000000</f>
        <v>3165052169843.1841</v>
      </c>
      <c r="AF9" s="21">
        <f>'TX Calculations'!AF428*1000000000000</f>
        <v>3157542698230.3423</v>
      </c>
      <c r="AG9" s="21">
        <f>'TX Calculations'!AG428*1000000000000</f>
        <v>3150033226399.8755</v>
      </c>
      <c r="AH9" s="21">
        <f>'TX Calculations'!AH428*1000000000000</f>
        <v>3142523754787.0352</v>
      </c>
      <c r="AI9" s="21">
        <f>'TX Calculations'!AI428*1000000000000</f>
        <v>3135014283174.1953</v>
      </c>
    </row>
    <row r="10" spans="1:35">
      <c r="B10" s="21"/>
      <c r="C10" s="21"/>
    </row>
    <row r="11" spans="1:35">
      <c r="C11" s="24"/>
    </row>
    <row r="12" spans="1:35">
      <c r="C12"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topLeftCell="W1" workbookViewId="0">
      <selection activeCell="N15" sqref="N15"/>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Calculations'!B338*1000000000000</f>
        <v>3020960683451.5142</v>
      </c>
      <c r="C2" s="21">
        <f>'TX Calculations'!C338*1000000000000</f>
        <v>3047119508726.9238</v>
      </c>
      <c r="D2" s="21">
        <f>'TX Calculations'!D338*1000000000000</f>
        <v>3073278334002.3325</v>
      </c>
      <c r="E2" s="21">
        <f>'TX Calculations'!E338*1000000000000</f>
        <v>3099437159277.7422</v>
      </c>
      <c r="F2" s="21">
        <f>'TX Calculations'!F338*1000000000000</f>
        <v>3125595984553.1514</v>
      </c>
      <c r="G2" s="21">
        <f>'TX Calculations'!G338*1000000000000</f>
        <v>3151754809828.561</v>
      </c>
      <c r="H2" s="21">
        <f>'TX Calculations'!H338*1000000000000</f>
        <v>3177913635103.9707</v>
      </c>
      <c r="I2" s="21">
        <f>'TX Calculations'!I338*1000000000000</f>
        <v>3204072460379.3799</v>
      </c>
      <c r="J2" s="21">
        <f>'TX Calculations'!J338*1000000000000</f>
        <v>3230231285654.7896</v>
      </c>
      <c r="K2" s="21">
        <f>'TX Calculations'!K338*1000000000000</f>
        <v>3256390110930.1987</v>
      </c>
      <c r="L2" s="21">
        <f>'TX Calculations'!L338*1000000000000</f>
        <v>3282548936205.6084</v>
      </c>
      <c r="M2" s="21">
        <f>'TX Calculations'!M338*1000000000000</f>
        <v>3308707761481.0181</v>
      </c>
      <c r="N2" s="21">
        <f>'TX Calculations'!N338*1000000000000</f>
        <v>3334866586756.4282</v>
      </c>
      <c r="O2" s="21">
        <f>'TX Calculations'!O338*1000000000000</f>
        <v>3361025412031.8379</v>
      </c>
      <c r="P2" s="21">
        <f>'TX Calculations'!P338*1000000000000</f>
        <v>3387184237307.2476</v>
      </c>
      <c r="Q2" s="21">
        <f>'TX Calculations'!Q338*1000000000000</f>
        <v>3413343062582.6577</v>
      </c>
      <c r="R2" s="21">
        <f>'TX Calculations'!R338*1000000000000</f>
        <v>3439501887858.0674</v>
      </c>
      <c r="S2" s="21">
        <f>'TX Calculations'!S338*1000000000000</f>
        <v>3465660713133.4771</v>
      </c>
      <c r="T2" s="21">
        <f>'TX Calculations'!T338*1000000000000</f>
        <v>3491819538408.8867</v>
      </c>
      <c r="U2" s="21">
        <f>'TX Calculations'!U338*1000000000000</f>
        <v>3517978363684.2969</v>
      </c>
      <c r="V2" s="21">
        <f>'TX Calculations'!V338*1000000000000</f>
        <v>3544137188959.7065</v>
      </c>
      <c r="W2" s="21">
        <f>'TX Calculations'!W338*1000000000000</f>
        <v>3570296014235.1162</v>
      </c>
      <c r="X2" s="21">
        <f>'TX Calculations'!X338*1000000000000</f>
        <v>3596454839510.5259</v>
      </c>
      <c r="Y2" s="21">
        <f>'TX Calculations'!Y338*1000000000000</f>
        <v>3622613664785.936</v>
      </c>
      <c r="Z2" s="21">
        <f>'TX Calculations'!Z338*1000000000000</f>
        <v>3648772490061.3452</v>
      </c>
      <c r="AA2" s="21">
        <f>'TX Calculations'!AA338*1000000000000</f>
        <v>3674931315336.7554</v>
      </c>
      <c r="AB2" s="21">
        <f>'TX Calculations'!AB338*1000000000000</f>
        <v>3701090140612.165</v>
      </c>
      <c r="AC2" s="21">
        <f>'TX Calculations'!AC338*1000000000000</f>
        <v>3727248965887.5752</v>
      </c>
      <c r="AD2" s="21">
        <f>'TX Calculations'!AD338*1000000000000</f>
        <v>3753407791162.9849</v>
      </c>
      <c r="AE2" s="21">
        <f>'TX Calculations'!AE338*1000000000000</f>
        <v>3779566616438.3945</v>
      </c>
      <c r="AF2" s="21">
        <f>'TX Calculations'!AF338*1000000000000</f>
        <v>3805725441713.8047</v>
      </c>
      <c r="AG2" s="21">
        <f>'TX Calculations'!AG338*1000000000000</f>
        <v>3831884266989.2139</v>
      </c>
      <c r="AH2" s="21">
        <f>'TX Calculations'!AH338*1000000000000</f>
        <v>3858043092264.624</v>
      </c>
      <c r="AI2" s="21">
        <f>'TX Calculations'!AI338*1000000000000</f>
        <v>3884201917540.0308</v>
      </c>
    </row>
    <row r="3" spans="1:35">
      <c r="A3" s="5" t="s">
        <v>567</v>
      </c>
      <c r="B3" s="21">
        <f>'TX Calculations'!B351*1000000000000</f>
        <v>1606249709372824</v>
      </c>
      <c r="C3" s="21">
        <f>'TX Calculations'!C351*1000000000000</f>
        <v>1622403595461048</v>
      </c>
      <c r="D3" s="21">
        <f>'TX Calculations'!D351*1000000000000</f>
        <v>1638557481549271.8</v>
      </c>
      <c r="E3" s="21">
        <f>'TX Calculations'!E351*1000000000000</f>
        <v>1654711367637495.8</v>
      </c>
      <c r="F3" s="21">
        <f>'TX Calculations'!F351*1000000000000</f>
        <v>1670865253725719.8</v>
      </c>
      <c r="G3" s="21">
        <f>'TX Calculations'!G351*1000000000000</f>
        <v>1687019139813943.5</v>
      </c>
      <c r="H3" s="21">
        <f>'TX Calculations'!H351*1000000000000</f>
        <v>1703173025902167.3</v>
      </c>
      <c r="I3" s="21">
        <f>'TX Calculations'!I351*1000000000000</f>
        <v>1719326911990391.3</v>
      </c>
      <c r="J3" s="21">
        <f>'TX Calculations'!J351*1000000000000</f>
        <v>1735480798078615</v>
      </c>
      <c r="K3" s="21">
        <f>'TX Calculations'!K351*1000000000000</f>
        <v>1751634684166839</v>
      </c>
      <c r="L3" s="21">
        <f>'TX Calculations'!L351*1000000000000</f>
        <v>1767788570255062.8</v>
      </c>
      <c r="M3" s="21">
        <f>'TX Calculations'!M351*1000000000000</f>
        <v>1783942456343287</v>
      </c>
      <c r="N3" s="21">
        <f>'TX Calculations'!N351*1000000000000</f>
        <v>1800096342431511</v>
      </c>
      <c r="O3" s="21">
        <f>'TX Calculations'!O351*1000000000000</f>
        <v>1816250228519735</v>
      </c>
      <c r="P3" s="21">
        <f>'TX Calculations'!P351*1000000000000</f>
        <v>1832404114607959</v>
      </c>
      <c r="Q3" s="21">
        <f>'TX Calculations'!Q351*1000000000000</f>
        <v>1848558000696182.8</v>
      </c>
      <c r="R3" s="21">
        <f>'TX Calculations'!R351*1000000000000</f>
        <v>1864711886784407</v>
      </c>
      <c r="S3" s="21">
        <f>'TX Calculations'!S351*1000000000000</f>
        <v>1880865772872631</v>
      </c>
      <c r="T3" s="21">
        <f>'TX Calculations'!T351*1000000000000</f>
        <v>1897019658960855</v>
      </c>
      <c r="U3" s="21">
        <f>'TX Calculations'!U351*1000000000000</f>
        <v>1913173545049078.8</v>
      </c>
      <c r="V3" s="21">
        <f>'TX Calculations'!V351*1000000000000</f>
        <v>1929327431137303</v>
      </c>
      <c r="W3" s="21">
        <f>'TX Calculations'!W351*1000000000000</f>
        <v>1945481317225527</v>
      </c>
      <c r="X3" s="21">
        <f>'TX Calculations'!X351*1000000000000</f>
        <v>1961635203313751</v>
      </c>
      <c r="Y3" s="21">
        <f>'TX Calculations'!Y351*1000000000000</f>
        <v>1977789089401974.8</v>
      </c>
      <c r="Z3" s="21">
        <f>'TX Calculations'!Z351*1000000000000</f>
        <v>1993942975490199</v>
      </c>
      <c r="AA3" s="21">
        <f>'TX Calculations'!AA351*1000000000000</f>
        <v>2010096861578422.8</v>
      </c>
      <c r="AB3" s="21">
        <f>'TX Calculations'!AB351*1000000000000</f>
        <v>2026250747666647</v>
      </c>
      <c r="AC3" s="21">
        <f>'TX Calculations'!AC351*1000000000000</f>
        <v>2042404633754871</v>
      </c>
      <c r="AD3" s="21">
        <f>'TX Calculations'!AD351*1000000000000</f>
        <v>2058558519843094.5</v>
      </c>
      <c r="AE3" s="21">
        <f>'TX Calculations'!AE351*1000000000000</f>
        <v>2074712405931318.8</v>
      </c>
      <c r="AF3" s="21">
        <f>'TX Calculations'!AF351*1000000000000</f>
        <v>2090866292019543</v>
      </c>
      <c r="AG3" s="21">
        <f>'TX Calculations'!AG351*1000000000000</f>
        <v>2107020178107766.8</v>
      </c>
      <c r="AH3" s="21">
        <f>'TX Calculations'!AH351*1000000000000</f>
        <v>2123174064195990.5</v>
      </c>
      <c r="AI3" s="21">
        <f>'TX Calculations'!AI351*1000000000000</f>
        <v>2139327950284214.3</v>
      </c>
    </row>
    <row r="4" spans="1:35">
      <c r="A4" s="5" t="s">
        <v>568</v>
      </c>
      <c r="B4" s="21">
        <f>'TX Calculations'!B364*1000000000000</f>
        <v>30209606834515.141</v>
      </c>
      <c r="C4" s="21">
        <f>'TX Calculations'!C364*1000000000000</f>
        <v>30471195087269.238</v>
      </c>
      <c r="D4" s="21">
        <f>'TX Calculations'!D364*1000000000000</f>
        <v>30732783340023.332</v>
      </c>
      <c r="E4" s="21">
        <f>'TX Calculations'!E364*1000000000000</f>
        <v>30994371592777.422</v>
      </c>
      <c r="F4" s="21">
        <f>'TX Calculations'!F364*1000000000000</f>
        <v>31255959845531.516</v>
      </c>
      <c r="G4" s="21">
        <f>'TX Calculations'!G364*1000000000000</f>
        <v>31517548098285.613</v>
      </c>
      <c r="H4" s="21">
        <f>'TX Calculations'!H364*1000000000000</f>
        <v>31779136351039.707</v>
      </c>
      <c r="I4" s="21">
        <f>'TX Calculations'!I364*1000000000000</f>
        <v>32040724603793.797</v>
      </c>
      <c r="J4" s="21">
        <f>'TX Calculations'!J364*1000000000000</f>
        <v>32302312856547.895</v>
      </c>
      <c r="K4" s="21">
        <f>'TX Calculations'!K364*1000000000000</f>
        <v>32563901109301.988</v>
      </c>
      <c r="L4" s="21">
        <f>'TX Calculations'!L364*1000000000000</f>
        <v>32825489362056.09</v>
      </c>
      <c r="M4" s="21">
        <f>'TX Calculations'!M364*1000000000000</f>
        <v>33087077614810.184</v>
      </c>
      <c r="N4" s="21">
        <f>'TX Calculations'!N364*1000000000000</f>
        <v>33348665867564.285</v>
      </c>
      <c r="O4" s="21">
        <f>'TX Calculations'!O364*1000000000000</f>
        <v>33610254120318.379</v>
      </c>
      <c r="P4" s="21">
        <f>'TX Calculations'!P364*1000000000000</f>
        <v>33871842373072.48</v>
      </c>
      <c r="Q4" s="21">
        <f>'TX Calculations'!Q364*1000000000000</f>
        <v>34133430625826.578</v>
      </c>
      <c r="R4" s="21">
        <f>'TX Calculations'!R364*1000000000000</f>
        <v>34395018878580.672</v>
      </c>
      <c r="S4" s="21">
        <f>'TX Calculations'!S364*1000000000000</f>
        <v>34656607131334.773</v>
      </c>
      <c r="T4" s="21">
        <f>'TX Calculations'!T364*1000000000000</f>
        <v>34918195384088.867</v>
      </c>
      <c r="U4" s="21">
        <f>'TX Calculations'!U364*1000000000000</f>
        <v>35179783636842.969</v>
      </c>
      <c r="V4" s="21">
        <f>'TX Calculations'!V364*1000000000000</f>
        <v>35441371889597.063</v>
      </c>
      <c r="W4" s="21">
        <f>'TX Calculations'!W364*1000000000000</f>
        <v>35702960142351.164</v>
      </c>
      <c r="X4" s="21">
        <f>'TX Calculations'!X364*1000000000000</f>
        <v>35964548395105.258</v>
      </c>
      <c r="Y4" s="21">
        <f>'TX Calculations'!Y364*1000000000000</f>
        <v>36226136647859.359</v>
      </c>
      <c r="Z4" s="21">
        <f>'TX Calculations'!Z364*1000000000000</f>
        <v>36487724900613.461</v>
      </c>
      <c r="AA4" s="21">
        <f>'TX Calculations'!AA364*1000000000000</f>
        <v>36749313153367.555</v>
      </c>
      <c r="AB4" s="21">
        <f>'TX Calculations'!AB364*1000000000000</f>
        <v>37010901406121.656</v>
      </c>
      <c r="AC4" s="21">
        <f>'TX Calculations'!AC364*1000000000000</f>
        <v>37272489658875.75</v>
      </c>
      <c r="AD4" s="21">
        <f>'TX Calculations'!AD364*1000000000000</f>
        <v>37534077911629.852</v>
      </c>
      <c r="AE4" s="21">
        <f>'TX Calculations'!AE364*1000000000000</f>
        <v>37795666164383.945</v>
      </c>
      <c r="AF4" s="21">
        <f>'TX Calculations'!AF364*1000000000000</f>
        <v>38057254417138.047</v>
      </c>
      <c r="AG4" s="21">
        <f>'TX Calculations'!AG364*1000000000000</f>
        <v>38318842669892.141</v>
      </c>
      <c r="AH4" s="21">
        <f>'TX Calculations'!AH364*1000000000000</f>
        <v>38580430922646.242</v>
      </c>
      <c r="AI4" s="21">
        <f>'TX Calculations'!AI364*1000000000000</f>
        <v>38842019175400.313</v>
      </c>
    </row>
    <row r="5" spans="1:35">
      <c r="A5" s="5" t="s">
        <v>569</v>
      </c>
      <c r="B5" s="21">
        <f>'TX Calculations'!B377*1000000000000</f>
        <v>509169191556282.44</v>
      </c>
      <c r="C5" s="21">
        <f>'TX Calculations'!C377*1000000000000</f>
        <v>513578142652701.44</v>
      </c>
      <c r="D5" s="21">
        <f>'TX Calculations'!D377*1000000000000</f>
        <v>517987093749120.5</v>
      </c>
      <c r="E5" s="21">
        <f>'TX Calculations'!E377*1000000000000</f>
        <v>522396044845539.44</v>
      </c>
      <c r="F5" s="21">
        <f>'TX Calculations'!F377*1000000000000</f>
        <v>526804995941958.5</v>
      </c>
      <c r="G5" s="21">
        <f>'TX Calculations'!G377*1000000000000</f>
        <v>531213947038377.44</v>
      </c>
      <c r="H5" s="21">
        <f>'TX Calculations'!H377*1000000000000</f>
        <v>535622898134796.5</v>
      </c>
      <c r="I5" s="21">
        <f>'TX Calculations'!I377*1000000000000</f>
        <v>540031849231215.44</v>
      </c>
      <c r="J5" s="21">
        <f>'TX Calculations'!J377*1000000000000</f>
        <v>544440800327634.5</v>
      </c>
      <c r="K5" s="21">
        <f>'TX Calculations'!K377*1000000000000</f>
        <v>548849751424053.44</v>
      </c>
      <c r="L5" s="21">
        <f>'TX Calculations'!L377*1000000000000</f>
        <v>553258702520472.63</v>
      </c>
      <c r="M5" s="21">
        <f>'TX Calculations'!M377*1000000000000</f>
        <v>557667653616891.69</v>
      </c>
      <c r="N5" s="21">
        <f>'TX Calculations'!N377*1000000000000</f>
        <v>562076604713310.75</v>
      </c>
      <c r="O5" s="21">
        <f>'TX Calculations'!O377*1000000000000</f>
        <v>566485555809729.88</v>
      </c>
      <c r="P5" s="21">
        <f>'TX Calculations'!P377*1000000000000</f>
        <v>570894506906148.88</v>
      </c>
      <c r="Q5" s="21">
        <f>'TX Calculations'!Q377*1000000000000</f>
        <v>575303458002567.88</v>
      </c>
      <c r="R5" s="21">
        <f>'TX Calculations'!R377*1000000000000</f>
        <v>579712409098987</v>
      </c>
      <c r="S5" s="21">
        <f>'TX Calculations'!S377*1000000000000</f>
        <v>584121360195406</v>
      </c>
      <c r="T5" s="21">
        <f>'TX Calculations'!T377*1000000000000</f>
        <v>588530311291825.13</v>
      </c>
      <c r="U5" s="21">
        <f>'TX Calculations'!U377*1000000000000</f>
        <v>592939262388244.13</v>
      </c>
      <c r="V5" s="21">
        <f>'TX Calculations'!V377*1000000000000</f>
        <v>597348213484663.25</v>
      </c>
      <c r="W5" s="21">
        <f>'TX Calculations'!W377*1000000000000</f>
        <v>601757164581082.25</v>
      </c>
      <c r="X5" s="21">
        <f>'TX Calculations'!X377*1000000000000</f>
        <v>606166115677501.38</v>
      </c>
      <c r="Y5" s="21">
        <f>'TX Calculations'!Y377*1000000000000</f>
        <v>610575066773920.38</v>
      </c>
      <c r="Z5" s="21">
        <f>'TX Calculations'!Z377*1000000000000</f>
        <v>614984017870339.63</v>
      </c>
      <c r="AA5" s="21">
        <f>'TX Calculations'!AA377*1000000000000</f>
        <v>619392968966758.63</v>
      </c>
      <c r="AB5" s="21">
        <f>'TX Calculations'!AB377*1000000000000</f>
        <v>623801920063177.75</v>
      </c>
      <c r="AC5" s="21">
        <f>'TX Calculations'!AC377*1000000000000</f>
        <v>628210871159596.75</v>
      </c>
      <c r="AD5" s="21">
        <f>'TX Calculations'!AD377*1000000000000</f>
        <v>632619822256015.88</v>
      </c>
      <c r="AE5" s="21">
        <f>'TX Calculations'!AE377*1000000000000</f>
        <v>637028773352434.88</v>
      </c>
      <c r="AF5" s="21">
        <f>'TX Calculations'!AF377*1000000000000</f>
        <v>641437724448854</v>
      </c>
      <c r="AG5" s="21">
        <f>'TX Calculations'!AG377*1000000000000</f>
        <v>645846675545273</v>
      </c>
      <c r="AH5" s="21">
        <f>'TX Calculations'!AH377*1000000000000</f>
        <v>650255626641692</v>
      </c>
      <c r="AI5" s="21">
        <f>'TX Calculations'!AI377*1000000000000</f>
        <v>654664577738110.63</v>
      </c>
    </row>
    <row r="6" spans="1:35">
      <c r="A6" s="5" t="s">
        <v>570</v>
      </c>
      <c r="B6" s="21">
        <f>'TX Calculations'!B390*1000000000000</f>
        <v>68949329872.698639</v>
      </c>
      <c r="C6" s="21">
        <f>'TX Calculations'!C390*1000000000000</f>
        <v>69546369576.947891</v>
      </c>
      <c r="D6" s="21">
        <f>'TX Calculations'!D390*1000000000000</f>
        <v>70143409281.197144</v>
      </c>
      <c r="E6" s="21">
        <f>'TX Calculations'!E390*1000000000000</f>
        <v>67069607921.767982</v>
      </c>
      <c r="F6" s="21">
        <f>'TX Calculations'!F390*1000000000000</f>
        <v>61727073996.571159</v>
      </c>
      <c r="G6" s="21">
        <f>'TX Calculations'!G390*1000000000000</f>
        <v>57929856728.246857</v>
      </c>
      <c r="H6" s="21">
        <f>'TX Calculations'!H390*1000000000000</f>
        <v>54504016834.93457</v>
      </c>
      <c r="I6" s="21">
        <f>'TX Calculations'!I390*1000000000000</f>
        <v>50568920791.895119</v>
      </c>
      <c r="J6" s="21">
        <f>'TX Calculations'!J390*1000000000000</f>
        <v>46200133330.206154</v>
      </c>
      <c r="K6" s="21">
        <f>'TX Calculations'!K390*1000000000000</f>
        <v>41627571783.288803</v>
      </c>
      <c r="L6" s="21">
        <f>'TX Calculations'!L390*1000000000000</f>
        <v>37037282965.336655</v>
      </c>
      <c r="M6" s="21">
        <f>'TX Calculations'!M390*1000000000000</f>
        <v>32443591943.852573</v>
      </c>
      <c r="N6" s="21">
        <f>'TX Calculations'!N390*1000000000000</f>
        <v>27828592384.457966</v>
      </c>
      <c r="O6" s="21">
        <f>'TX Calculations'!O390*1000000000000</f>
        <v>23213950951.750927</v>
      </c>
      <c r="P6" s="21">
        <f>'TX Calculations'!P390*1000000000000</f>
        <v>18594474808.761673</v>
      </c>
      <c r="Q6" s="21">
        <f>'TX Calculations'!Q390*1000000000000</f>
        <v>13975213541.784958</v>
      </c>
      <c r="R6" s="21">
        <f>'TX Calculations'!R390*1000000000000</f>
        <v>9352639602.9482021</v>
      </c>
      <c r="S6" s="21">
        <f>'TX Calculations'!S390*1000000000000</f>
        <v>4728740595.3674307</v>
      </c>
      <c r="T6" s="21">
        <f>'TX Calculations'!T390*1000000000000</f>
        <v>103844025.89842696</v>
      </c>
      <c r="U6" s="21">
        <f>'TX Calculations'!U390*1000000000000</f>
        <v>94366561.238525599</v>
      </c>
      <c r="V6" s="21">
        <f>'TX Calculations'!V390*1000000000000</f>
        <v>94368530.935307249</v>
      </c>
      <c r="W6" s="21">
        <f>'TX Calculations'!W390*1000000000000</f>
        <v>94377305.039152771</v>
      </c>
      <c r="X6" s="21">
        <f>'TX Calculations'!X390*1000000000000</f>
        <v>94386258.206342071</v>
      </c>
      <c r="Y6" s="21">
        <f>'TX Calculations'!Y390*1000000000000</f>
        <v>94395032.310187578</v>
      </c>
      <c r="Z6" s="21">
        <f>'TX Calculations'!Z390*1000000000000</f>
        <v>94403806.414033085</v>
      </c>
      <c r="AA6" s="21">
        <f>'TX Calculations'!AA390*1000000000000</f>
        <v>94412759.58122237</v>
      </c>
      <c r="AB6" s="21">
        <f>'TX Calculations'!AB390*1000000000000</f>
        <v>94421533.685067877</v>
      </c>
      <c r="AC6" s="21">
        <f>'TX Calculations'!AC390*1000000000000</f>
        <v>94430486.852257177</v>
      </c>
      <c r="AD6" s="21">
        <f>'TX Calculations'!AD390*1000000000000</f>
        <v>94439260.956102684</v>
      </c>
      <c r="AE6" s="21">
        <f>'TX Calculations'!AE390*1000000000000</f>
        <v>94448035.059948191</v>
      </c>
      <c r="AF6" s="21">
        <f>'TX Calculations'!AF390*1000000000000</f>
        <v>94456809.163793698</v>
      </c>
      <c r="AG6" s="21">
        <f>'TX Calculations'!AG390*1000000000000</f>
        <v>94465762.330982998</v>
      </c>
      <c r="AH6" s="21">
        <f>'TX Calculations'!AH390*1000000000000</f>
        <v>94474536.43482852</v>
      </c>
      <c r="AI6" s="21">
        <f>'TX Calculations'!AI390*1000000000000</f>
        <v>94483310.538674027</v>
      </c>
    </row>
    <row r="7" spans="1:35">
      <c r="A7" s="5" t="s">
        <v>571</v>
      </c>
      <c r="B7" s="21">
        <f>'TX Calculations'!B403*1000000000000</f>
        <v>0</v>
      </c>
      <c r="C7" s="21">
        <f>'TX Calculations'!C403*1000000000000</f>
        <v>0</v>
      </c>
      <c r="D7" s="21">
        <f>'TX Calculations'!D403*1000000000000</f>
        <v>0</v>
      </c>
      <c r="E7" s="21">
        <f>'TX Calculations'!E403*1000000000000</f>
        <v>0</v>
      </c>
      <c r="F7" s="21">
        <f>'TX Calculations'!F403*1000000000000</f>
        <v>0</v>
      </c>
      <c r="G7" s="21">
        <f>'TX Calculations'!G403*1000000000000</f>
        <v>0</v>
      </c>
      <c r="H7" s="21">
        <f>'TX Calculations'!H403*1000000000000</f>
        <v>0</v>
      </c>
      <c r="I7" s="21">
        <f>'TX Calculations'!I403*1000000000000</f>
        <v>0</v>
      </c>
      <c r="J7" s="21">
        <f>'TX Calculations'!J403*1000000000000</f>
        <v>0</v>
      </c>
      <c r="K7" s="21">
        <f>'TX Calculations'!K403*1000000000000</f>
        <v>0</v>
      </c>
      <c r="L7" s="21">
        <f>'TX Calculations'!L403*1000000000000</f>
        <v>0</v>
      </c>
      <c r="M7" s="21">
        <f>'TX Calculations'!M403*1000000000000</f>
        <v>0</v>
      </c>
      <c r="N7" s="21">
        <f>'TX Calculations'!N403*1000000000000</f>
        <v>0</v>
      </c>
      <c r="O7" s="21">
        <f>'TX Calculations'!O403*1000000000000</f>
        <v>0</v>
      </c>
      <c r="P7" s="21">
        <f>'TX Calculations'!P403*1000000000000</f>
        <v>0</v>
      </c>
      <c r="Q7" s="21">
        <f>'TX Calculations'!Q403*1000000000000</f>
        <v>0</v>
      </c>
      <c r="R7" s="21">
        <f>'TX Calculations'!R403*1000000000000</f>
        <v>0</v>
      </c>
      <c r="S7" s="21">
        <f>'TX Calculations'!S403*1000000000000</f>
        <v>0</v>
      </c>
      <c r="T7" s="21">
        <f>'TX Calculations'!T403*1000000000000</f>
        <v>0</v>
      </c>
      <c r="U7" s="21">
        <f>'TX Calculations'!U403*1000000000000</f>
        <v>0</v>
      </c>
      <c r="V7" s="21">
        <f>'TX Calculations'!V403*1000000000000</f>
        <v>0</v>
      </c>
      <c r="W7" s="21">
        <f>'TX Calculations'!W403*1000000000000</f>
        <v>0</v>
      </c>
      <c r="X7" s="21">
        <f>'TX Calculations'!X403*1000000000000</f>
        <v>0</v>
      </c>
      <c r="Y7" s="21">
        <f>'TX Calculations'!Y403*1000000000000</f>
        <v>0</v>
      </c>
      <c r="Z7" s="21">
        <f>'TX Calculations'!Z403*1000000000000</f>
        <v>0</v>
      </c>
      <c r="AA7" s="21">
        <f>'TX Calculations'!AA403*1000000000000</f>
        <v>0</v>
      </c>
      <c r="AB7" s="21">
        <f>'TX Calculations'!AB403*1000000000000</f>
        <v>0</v>
      </c>
      <c r="AC7" s="21">
        <f>'TX Calculations'!AC403*1000000000000</f>
        <v>0</v>
      </c>
      <c r="AD7" s="21">
        <f>'TX Calculations'!AD403*1000000000000</f>
        <v>0</v>
      </c>
      <c r="AE7" s="21">
        <f>'TX Calculations'!AE403*1000000000000</f>
        <v>0</v>
      </c>
      <c r="AF7" s="21">
        <f>'TX Calculations'!AF403*1000000000000</f>
        <v>0</v>
      </c>
      <c r="AG7" s="21">
        <f>'TX Calculations'!AG403*1000000000000</f>
        <v>0</v>
      </c>
      <c r="AH7" s="21">
        <f>'TX Calculations'!AH403*1000000000000</f>
        <v>0</v>
      </c>
      <c r="AI7" s="21">
        <f>'TX Calculations'!AI403*1000000000000</f>
        <v>0</v>
      </c>
    </row>
    <row r="8" spans="1:35">
      <c r="A8" s="5" t="s">
        <v>572</v>
      </c>
      <c r="B8" s="21">
        <f>'TX Calculations'!B416*1000000000000</f>
        <v>0</v>
      </c>
      <c r="C8" s="21">
        <f>'TX Calculations'!C416*1000000000000</f>
        <v>0</v>
      </c>
      <c r="D8" s="21">
        <f>'TX Calculations'!D416*1000000000000</f>
        <v>0</v>
      </c>
      <c r="E8" s="21">
        <f>'TX Calculations'!E416*1000000000000</f>
        <v>0</v>
      </c>
      <c r="F8" s="21">
        <f>'TX Calculations'!F416*1000000000000</f>
        <v>0</v>
      </c>
      <c r="G8" s="21">
        <f>'TX Calculations'!G416*1000000000000</f>
        <v>0</v>
      </c>
      <c r="H8" s="21">
        <f>'TX Calculations'!H416*1000000000000</f>
        <v>0</v>
      </c>
      <c r="I8" s="21">
        <f>'TX Calculations'!I416*1000000000000</f>
        <v>0</v>
      </c>
      <c r="J8" s="21">
        <f>'TX Calculations'!J416*1000000000000</f>
        <v>0</v>
      </c>
      <c r="K8" s="21">
        <f>'TX Calculations'!K416*1000000000000</f>
        <v>0</v>
      </c>
      <c r="L8" s="21">
        <f>'TX Calculations'!L416*1000000000000</f>
        <v>0</v>
      </c>
      <c r="M8" s="21">
        <f>'TX Calculations'!M416*1000000000000</f>
        <v>0</v>
      </c>
      <c r="N8" s="21">
        <f>'TX Calculations'!N416*1000000000000</f>
        <v>0</v>
      </c>
      <c r="O8" s="21">
        <f>'TX Calculations'!O416*1000000000000</f>
        <v>0</v>
      </c>
      <c r="P8" s="21">
        <f>'TX Calculations'!P416*1000000000000</f>
        <v>0</v>
      </c>
      <c r="Q8" s="21">
        <f>'TX Calculations'!Q416*1000000000000</f>
        <v>0</v>
      </c>
      <c r="R8" s="21">
        <f>'TX Calculations'!R416*1000000000000</f>
        <v>0</v>
      </c>
      <c r="S8" s="21">
        <f>'TX Calculations'!S416*1000000000000</f>
        <v>0</v>
      </c>
      <c r="T8" s="21">
        <f>'TX Calculations'!T416*1000000000000</f>
        <v>0</v>
      </c>
      <c r="U8" s="21">
        <f>'TX Calculations'!U416*1000000000000</f>
        <v>0</v>
      </c>
      <c r="V8" s="21">
        <f>'TX Calculations'!V416*1000000000000</f>
        <v>0</v>
      </c>
      <c r="W8" s="21">
        <f>'TX Calculations'!W416*1000000000000</f>
        <v>0</v>
      </c>
      <c r="X8" s="21">
        <f>'TX Calculations'!X416*1000000000000</f>
        <v>0</v>
      </c>
      <c r="Y8" s="21">
        <f>'TX Calculations'!Y416*1000000000000</f>
        <v>0</v>
      </c>
      <c r="Z8" s="21">
        <f>'TX Calculations'!Z416*1000000000000</f>
        <v>0</v>
      </c>
      <c r="AA8" s="21">
        <f>'TX Calculations'!AA416*1000000000000</f>
        <v>0</v>
      </c>
      <c r="AB8" s="21">
        <f>'TX Calculations'!AB416*1000000000000</f>
        <v>0</v>
      </c>
      <c r="AC8" s="21">
        <f>'TX Calculations'!AC416*1000000000000</f>
        <v>0</v>
      </c>
      <c r="AD8" s="21">
        <f>'TX Calculations'!AD416*1000000000000</f>
        <v>0</v>
      </c>
      <c r="AE8" s="21">
        <f>'TX Calculations'!AE416*1000000000000</f>
        <v>0</v>
      </c>
      <c r="AF8" s="21">
        <f>'TX Calculations'!AF416*1000000000000</f>
        <v>0</v>
      </c>
      <c r="AG8" s="21">
        <f>'TX Calculations'!AG416*1000000000000</f>
        <v>0</v>
      </c>
      <c r="AH8" s="21">
        <f>'TX Calculations'!AH416*1000000000000</f>
        <v>0</v>
      </c>
      <c r="AI8" s="21">
        <f>'TX Calculations'!AI416*1000000000000</f>
        <v>0</v>
      </c>
    </row>
    <row r="9" spans="1:35">
      <c r="A9" s="5" t="s">
        <v>573</v>
      </c>
      <c r="B9" s="21">
        <f>'TX Calculations'!B429*1000000000000</f>
        <v>282059267223054.13</v>
      </c>
      <c r="C9" s="21">
        <f>'TX Calculations'!C429*1000000000000</f>
        <v>284501648922695.5</v>
      </c>
      <c r="D9" s="21">
        <f>'TX Calculations'!D429*1000000000000</f>
        <v>286944030622337.31</v>
      </c>
      <c r="E9" s="21">
        <f>'TX Calculations'!E429*1000000000000</f>
        <v>289390083163041.69</v>
      </c>
      <c r="F9" s="21">
        <f>'TX Calculations'!F429*1000000000000</f>
        <v>291838404436312</v>
      </c>
      <c r="G9" s="21">
        <f>'TX Calculations'!G429*1000000000000</f>
        <v>294285180392926.13</v>
      </c>
      <c r="H9" s="21">
        <f>'TX Calculations'!H429*1000000000000</f>
        <v>296731584972165.38</v>
      </c>
      <c r="I9" s="21">
        <f>'TX Calculations'!I429*1000000000000</f>
        <v>299178498807553.75</v>
      </c>
      <c r="J9" s="21">
        <f>'TX Calculations'!J429*1000000000000</f>
        <v>301625846334361.06</v>
      </c>
      <c r="K9" s="21">
        <f>'TX Calculations'!K429*1000000000000</f>
        <v>304073397635253.5</v>
      </c>
      <c r="L9" s="21">
        <f>'TX Calculations'!L429*1000000000000</f>
        <v>306520966663417.31</v>
      </c>
      <c r="M9" s="21">
        <f>'TX Calculations'!M429*1000000000000</f>
        <v>308968539093784.31</v>
      </c>
      <c r="N9" s="21">
        <f>'TX Calculations'!N429*1000000000000</f>
        <v>311416132832689.06</v>
      </c>
      <c r="O9" s="21">
        <f>'TX Calculations'!O429*1000000000000</f>
        <v>313863726213467.56</v>
      </c>
      <c r="P9" s="21">
        <f>'TX Calculations'!P429*1000000000000</f>
        <v>316311324428956.13</v>
      </c>
      <c r="Q9" s="21">
        <f>'TX Calculations'!Q429*1000000000000</f>
        <v>318758922429568.88</v>
      </c>
      <c r="R9" s="21">
        <f>'TX Calculations'!R429*1000000000000</f>
        <v>321206523742853.25</v>
      </c>
      <c r="S9" s="21">
        <f>'TX Calculations'!S429*1000000000000</f>
        <v>323654126381205.5</v>
      </c>
      <c r="T9" s="21">
        <f>'TX Calculations'!T429*1000000000000</f>
        <v>326101730017121.13</v>
      </c>
      <c r="U9" s="21">
        <f>'TX Calculations'!U429*1000000000000</f>
        <v>328544718233931.69</v>
      </c>
      <c r="V9" s="21">
        <f>'TX Calculations'!V429*1000000000000</f>
        <v>330987696971307.75</v>
      </c>
      <c r="W9" s="21">
        <f>'TX Calculations'!W429*1000000000000</f>
        <v>333430675701878.94</v>
      </c>
      <c r="X9" s="21">
        <f>'TX Calculations'!X429*1000000000000</f>
        <v>335873654432271.44</v>
      </c>
      <c r="Y9" s="21">
        <f>'TX Calculations'!Y429*1000000000000</f>
        <v>338316633162843.13</v>
      </c>
      <c r="Z9" s="21">
        <f>'TX Calculations'!Z429*1000000000000</f>
        <v>340759611893413.88</v>
      </c>
      <c r="AA9" s="21">
        <f>'TX Calculations'!AA429*1000000000000</f>
        <v>343202590623806.38</v>
      </c>
      <c r="AB9" s="21">
        <f>'TX Calculations'!AB429*1000000000000</f>
        <v>345645569354378.06</v>
      </c>
      <c r="AC9" s="21">
        <f>'TX Calculations'!AC429*1000000000000</f>
        <v>348088548084770.06</v>
      </c>
      <c r="AD9" s="21">
        <f>'TX Calculations'!AD429*1000000000000</f>
        <v>350531526815342.69</v>
      </c>
      <c r="AE9" s="21">
        <f>'TX Calculations'!AE429*1000000000000</f>
        <v>352974505545913.44</v>
      </c>
      <c r="AF9" s="21">
        <f>'TX Calculations'!AF429*1000000000000</f>
        <v>355417484276484.63</v>
      </c>
      <c r="AG9" s="21">
        <f>'TX Calculations'!AG429*1000000000000</f>
        <v>357860463006878.06</v>
      </c>
      <c r="AH9" s="21">
        <f>'TX Calculations'!AH429*1000000000000</f>
        <v>360303441737449.25</v>
      </c>
      <c r="AI9" s="21">
        <f>'TX Calculations'!AI429*1000000000000</f>
        <v>362746420468020.44</v>
      </c>
    </row>
    <row r="11" spans="1:35">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3" sqref="B3"/>
    </sheetView>
  </sheetViews>
  <sheetFormatPr defaultColWidth="9.1328125" defaultRowHeight="14.25"/>
  <cols>
    <col min="1" max="1" width="39.796875" style="5" customWidth="1"/>
    <col min="2" max="35" width="9.6640625" style="5" bestFit="1" customWidth="1"/>
    <col min="36" max="16384" width="9.1328125" style="5"/>
  </cols>
  <sheetData>
    <row r="1" spans="1:35">
      <c r="A1" s="1" t="s">
        <v>574</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5">
      <c r="A2" s="5" t="s">
        <v>566</v>
      </c>
      <c r="B2" s="21">
        <f>'TX Calculations'!B339*1000000000000</f>
        <v>68113517693.431908</v>
      </c>
      <c r="C2" s="21">
        <f>'TX Calculations'!C339*1000000000000</f>
        <v>68253574048.355278</v>
      </c>
      <c r="D2" s="21">
        <f>'TX Calculations'!D339*1000000000000</f>
        <v>68393630403.278656</v>
      </c>
      <c r="E2" s="21">
        <f>'TX Calculations'!E339*1000000000000</f>
        <v>68533686758.202011</v>
      </c>
      <c r="F2" s="21">
        <f>'TX Calculations'!F339*1000000000000</f>
        <v>68673743113.125381</v>
      </c>
      <c r="G2" s="21">
        <f>'TX Calculations'!G339*1000000000000</f>
        <v>68813799468.048767</v>
      </c>
      <c r="H2" s="21">
        <f>'TX Calculations'!H339*1000000000000</f>
        <v>68953855822.972107</v>
      </c>
      <c r="I2" s="21">
        <f>'TX Calculations'!I339*1000000000000</f>
        <v>69093912177.895477</v>
      </c>
      <c r="J2" s="21">
        <f>'TX Calculations'!J339*1000000000000</f>
        <v>69233968532.818848</v>
      </c>
      <c r="K2" s="21">
        <f>'TX Calculations'!K339*1000000000000</f>
        <v>69374024887.742203</v>
      </c>
      <c r="L2" s="21">
        <f>'TX Calculations'!L339*1000000000000</f>
        <v>69514081242.665588</v>
      </c>
      <c r="M2" s="21">
        <f>'TX Calculations'!M339*1000000000000</f>
        <v>69654137597.588959</v>
      </c>
      <c r="N2" s="21">
        <f>'TX Calculations'!N339*1000000000000</f>
        <v>69794193952.512314</v>
      </c>
      <c r="O2" s="21">
        <f>'TX Calculations'!O339*1000000000000</f>
        <v>69934250307.435684</v>
      </c>
      <c r="P2" s="21">
        <f>'TX Calculations'!P339*1000000000000</f>
        <v>70074306662.359039</v>
      </c>
      <c r="Q2" s="21">
        <f>'TX Calculations'!Q339*1000000000000</f>
        <v>70214363017.28241</v>
      </c>
      <c r="R2" s="21">
        <f>'TX Calculations'!R339*1000000000000</f>
        <v>70354419372.20578</v>
      </c>
      <c r="S2" s="21">
        <f>'TX Calculations'!S339*1000000000000</f>
        <v>70494475727.12915</v>
      </c>
      <c r="T2" s="21">
        <f>'TX Calculations'!T339*1000000000000</f>
        <v>70634532082.052521</v>
      </c>
      <c r="U2" s="21">
        <f>'TX Calculations'!U339*1000000000000</f>
        <v>70774588436.975876</v>
      </c>
      <c r="V2" s="21">
        <f>'TX Calculations'!V339*1000000000000</f>
        <v>70914644791.899246</v>
      </c>
      <c r="W2" s="21">
        <f>'TX Calculations'!W339*1000000000000</f>
        <v>71054701146.822617</v>
      </c>
      <c r="X2" s="21">
        <f>'TX Calculations'!X339*1000000000000</f>
        <v>71194757501.745972</v>
      </c>
      <c r="Y2" s="21">
        <f>'TX Calculations'!Y339*1000000000000</f>
        <v>71334813856.669342</v>
      </c>
      <c r="Z2" s="21">
        <f>'TX Calculations'!Z339*1000000000000</f>
        <v>71474870211.592712</v>
      </c>
      <c r="AA2" s="21">
        <f>'TX Calculations'!AA339*1000000000000</f>
        <v>71614926566.516068</v>
      </c>
      <c r="AB2" s="21">
        <f>'TX Calculations'!AB339*1000000000000</f>
        <v>71754982921.439453</v>
      </c>
      <c r="AC2" s="21">
        <f>'TX Calculations'!AC339*1000000000000</f>
        <v>71895039276.362808</v>
      </c>
      <c r="AD2" s="21">
        <f>'TX Calculations'!AD339*1000000000000</f>
        <v>72035095631.286163</v>
      </c>
      <c r="AE2" s="21">
        <f>'TX Calculations'!AE339*1000000000000</f>
        <v>72175151986.209534</v>
      </c>
      <c r="AF2" s="21">
        <f>'TX Calculations'!AF339*1000000000000</f>
        <v>72315208341.132904</v>
      </c>
      <c r="AG2" s="21">
        <f>'TX Calculations'!AG339*1000000000000</f>
        <v>72455264696.056274</v>
      </c>
      <c r="AH2" s="21">
        <f>'TX Calculations'!AH339*1000000000000</f>
        <v>72595321050.979645</v>
      </c>
      <c r="AI2" s="21">
        <f>'TX Calculations'!AI339*1000000000000</f>
        <v>72735377405.903061</v>
      </c>
    </row>
    <row r="3" spans="1:35">
      <c r="A3" s="5" t="s">
        <v>567</v>
      </c>
      <c r="B3" s="21">
        <f>'TX Calculations'!B352*1000000000000</f>
        <v>0</v>
      </c>
      <c r="C3" s="21">
        <f>'TX Calculations'!C352*1000000000000</f>
        <v>0</v>
      </c>
      <c r="D3" s="21">
        <f>'TX Calculations'!D352*1000000000000</f>
        <v>0</v>
      </c>
      <c r="E3" s="21">
        <f>'TX Calculations'!E352*1000000000000</f>
        <v>0</v>
      </c>
      <c r="F3" s="21">
        <f>'TX Calculations'!F352*1000000000000</f>
        <v>0</v>
      </c>
      <c r="G3" s="21">
        <f>'TX Calculations'!G352*1000000000000</f>
        <v>0</v>
      </c>
      <c r="H3" s="21">
        <f>'TX Calculations'!H352*1000000000000</f>
        <v>0</v>
      </c>
      <c r="I3" s="21">
        <f>'TX Calculations'!I352*1000000000000</f>
        <v>0</v>
      </c>
      <c r="J3" s="21">
        <f>'TX Calculations'!J352*1000000000000</f>
        <v>0</v>
      </c>
      <c r="K3" s="21">
        <f>'TX Calculations'!K352*1000000000000</f>
        <v>0</v>
      </c>
      <c r="L3" s="21">
        <f>'TX Calculations'!L352*1000000000000</f>
        <v>0</v>
      </c>
      <c r="M3" s="21">
        <f>'TX Calculations'!M352*1000000000000</f>
        <v>0</v>
      </c>
      <c r="N3" s="21">
        <f>'TX Calculations'!N352*1000000000000</f>
        <v>0</v>
      </c>
      <c r="O3" s="21">
        <f>'TX Calculations'!O352*1000000000000</f>
        <v>0</v>
      </c>
      <c r="P3" s="21">
        <f>'TX Calculations'!P352*1000000000000</f>
        <v>0</v>
      </c>
      <c r="Q3" s="21">
        <f>'TX Calculations'!Q352*1000000000000</f>
        <v>0</v>
      </c>
      <c r="R3" s="21">
        <f>'TX Calculations'!R352*1000000000000</f>
        <v>0</v>
      </c>
      <c r="S3" s="21">
        <f>'TX Calculations'!S352*1000000000000</f>
        <v>0</v>
      </c>
      <c r="T3" s="21">
        <f>'TX Calculations'!T352*1000000000000</f>
        <v>0</v>
      </c>
      <c r="U3" s="21">
        <f>'TX Calculations'!U352*1000000000000</f>
        <v>0</v>
      </c>
      <c r="V3" s="21">
        <f>'TX Calculations'!V352*1000000000000</f>
        <v>0</v>
      </c>
      <c r="W3" s="21">
        <f>'TX Calculations'!W352*1000000000000</f>
        <v>0</v>
      </c>
      <c r="X3" s="21">
        <f>'TX Calculations'!X352*1000000000000</f>
        <v>0</v>
      </c>
      <c r="Y3" s="21">
        <f>'TX Calculations'!Y352*1000000000000</f>
        <v>0</v>
      </c>
      <c r="Z3" s="21">
        <f>'TX Calculations'!Z352*1000000000000</f>
        <v>0</v>
      </c>
      <c r="AA3" s="21">
        <f>'TX Calculations'!AA352*1000000000000</f>
        <v>0</v>
      </c>
      <c r="AB3" s="21">
        <f>'TX Calculations'!AB352*1000000000000</f>
        <v>0</v>
      </c>
      <c r="AC3" s="21">
        <f>'TX Calculations'!AC352*1000000000000</f>
        <v>0</v>
      </c>
      <c r="AD3" s="21">
        <f>'TX Calculations'!AD352*1000000000000</f>
        <v>0</v>
      </c>
      <c r="AE3" s="21">
        <f>'TX Calculations'!AE352*1000000000000</f>
        <v>0</v>
      </c>
      <c r="AF3" s="21">
        <f>'TX Calculations'!AF352*1000000000000</f>
        <v>0</v>
      </c>
      <c r="AG3" s="21">
        <f>'TX Calculations'!AG352*1000000000000</f>
        <v>0</v>
      </c>
      <c r="AH3" s="21">
        <f>'TX Calculations'!AH352*1000000000000</f>
        <v>0</v>
      </c>
      <c r="AI3" s="21">
        <f>'TX Calculations'!AI352*1000000000000</f>
        <v>0</v>
      </c>
    </row>
    <row r="4" spans="1:35">
      <c r="A4" s="5" t="s">
        <v>568</v>
      </c>
      <c r="B4" s="21">
        <f>'TX Calculations'!B365*1000000000000</f>
        <v>34056758846.715961</v>
      </c>
      <c r="C4" s="21">
        <f>'TX Calculations'!C365*1000000000000</f>
        <v>34126787024.177643</v>
      </c>
      <c r="D4" s="21">
        <f>'TX Calculations'!D365*1000000000000</f>
        <v>34196815201.639328</v>
      </c>
      <c r="E4" s="21">
        <f>'TX Calculations'!E365*1000000000000</f>
        <v>34266843379.101013</v>
      </c>
      <c r="F4" s="21">
        <f>'TX Calculations'!F365*1000000000000</f>
        <v>34336871556.562698</v>
      </c>
      <c r="G4" s="21">
        <f>'TX Calculations'!G365*1000000000000</f>
        <v>34406899734.024376</v>
      </c>
      <c r="H4" s="21">
        <f>'TX Calculations'!H365*1000000000000</f>
        <v>34476927911.486061</v>
      </c>
      <c r="I4" s="21">
        <f>'TX Calculations'!I365*1000000000000</f>
        <v>34546956088.947739</v>
      </c>
      <c r="J4" s="21">
        <f>'TX Calculations'!J365*1000000000000</f>
        <v>34616984266.409424</v>
      </c>
      <c r="K4" s="21">
        <f>'TX Calculations'!K365*1000000000000</f>
        <v>34687012443.871109</v>
      </c>
      <c r="L4" s="21">
        <f>'TX Calculations'!L365*1000000000000</f>
        <v>34757040621.332794</v>
      </c>
      <c r="M4" s="21">
        <f>'TX Calculations'!M365*1000000000000</f>
        <v>34827068798.794479</v>
      </c>
      <c r="N4" s="21">
        <f>'TX Calculations'!N365*1000000000000</f>
        <v>34897096976.256165</v>
      </c>
      <c r="O4" s="21">
        <f>'TX Calculations'!O365*1000000000000</f>
        <v>34967125153.717842</v>
      </c>
      <c r="P4" s="21">
        <f>'TX Calculations'!P365*1000000000000</f>
        <v>35037153331.17952</v>
      </c>
      <c r="Q4" s="21">
        <f>'TX Calculations'!Q365*1000000000000</f>
        <v>35107181508.641205</v>
      </c>
      <c r="R4" s="21">
        <f>'TX Calculations'!R365*1000000000000</f>
        <v>35177209686.10289</v>
      </c>
      <c r="S4" s="21">
        <f>'TX Calculations'!S365*1000000000000</f>
        <v>35247237863.564575</v>
      </c>
      <c r="T4" s="21">
        <f>'TX Calculations'!T365*1000000000000</f>
        <v>35317266041.02626</v>
      </c>
      <c r="U4" s="21">
        <f>'TX Calculations'!U365*1000000000000</f>
        <v>35387294218.487946</v>
      </c>
      <c r="V4" s="21">
        <f>'TX Calculations'!V365*1000000000000</f>
        <v>35457322395.949623</v>
      </c>
      <c r="W4" s="21">
        <f>'TX Calculations'!W365*1000000000000</f>
        <v>35527350573.411308</v>
      </c>
      <c r="X4" s="21">
        <f>'TX Calculations'!X365*1000000000000</f>
        <v>35597378750.872986</v>
      </c>
      <c r="Y4" s="21">
        <f>'TX Calculations'!Y365*1000000000000</f>
        <v>35667406928.334671</v>
      </c>
      <c r="Z4" s="21">
        <f>'TX Calculations'!Z365*1000000000000</f>
        <v>35737435105.796356</v>
      </c>
      <c r="AA4" s="21">
        <f>'TX Calculations'!AA365*1000000000000</f>
        <v>35807463283.258041</v>
      </c>
      <c r="AB4" s="21">
        <f>'TX Calculations'!AB365*1000000000000</f>
        <v>35877491460.719727</v>
      </c>
      <c r="AC4" s="21">
        <f>'TX Calculations'!AC365*1000000000000</f>
        <v>35947519638.181404</v>
      </c>
      <c r="AD4" s="21">
        <f>'TX Calculations'!AD365*1000000000000</f>
        <v>36017547815.643089</v>
      </c>
      <c r="AE4" s="21">
        <f>'TX Calculations'!AE365*1000000000000</f>
        <v>36087575993.104774</v>
      </c>
      <c r="AF4" s="21">
        <f>'TX Calculations'!AF365*1000000000000</f>
        <v>36157604170.56646</v>
      </c>
      <c r="AG4" s="21">
        <f>'TX Calculations'!AG365*1000000000000</f>
        <v>36227632348.028137</v>
      </c>
      <c r="AH4" s="21">
        <f>'TX Calculations'!AH365*1000000000000</f>
        <v>36297660525.489822</v>
      </c>
      <c r="AI4" s="21">
        <f>'TX Calculations'!AI365*1000000000000</f>
        <v>36367688702.951538</v>
      </c>
    </row>
    <row r="5" spans="1:35">
      <c r="A5" s="5" t="s">
        <v>569</v>
      </c>
      <c r="B5" s="21">
        <f>'TX Calculations'!B378*1000000000000</f>
        <v>0</v>
      </c>
      <c r="C5" s="21">
        <f>'TX Calculations'!C378*1000000000000</f>
        <v>0</v>
      </c>
      <c r="D5" s="21">
        <f>'TX Calculations'!D378*1000000000000</f>
        <v>0</v>
      </c>
      <c r="E5" s="21">
        <f>'TX Calculations'!E378*1000000000000</f>
        <v>0</v>
      </c>
      <c r="F5" s="21">
        <f>'TX Calculations'!F378*1000000000000</f>
        <v>0</v>
      </c>
      <c r="G5" s="21">
        <f>'TX Calculations'!G378*1000000000000</f>
        <v>0</v>
      </c>
      <c r="H5" s="21">
        <f>'TX Calculations'!H378*1000000000000</f>
        <v>0</v>
      </c>
      <c r="I5" s="21">
        <f>'TX Calculations'!I378*1000000000000</f>
        <v>0</v>
      </c>
      <c r="J5" s="21">
        <f>'TX Calculations'!J378*1000000000000</f>
        <v>0</v>
      </c>
      <c r="K5" s="21">
        <f>'TX Calculations'!K378*1000000000000</f>
        <v>0</v>
      </c>
      <c r="L5" s="21">
        <f>'TX Calculations'!L378*1000000000000</f>
        <v>0</v>
      </c>
      <c r="M5" s="21">
        <f>'TX Calculations'!M378*1000000000000</f>
        <v>0</v>
      </c>
      <c r="N5" s="21">
        <f>'TX Calculations'!N378*1000000000000</f>
        <v>0</v>
      </c>
      <c r="O5" s="21">
        <f>'TX Calculations'!O378*1000000000000</f>
        <v>0</v>
      </c>
      <c r="P5" s="21">
        <f>'TX Calculations'!P378*1000000000000</f>
        <v>0</v>
      </c>
      <c r="Q5" s="21">
        <f>'TX Calculations'!Q378*1000000000000</f>
        <v>0</v>
      </c>
      <c r="R5" s="21">
        <f>'TX Calculations'!R378*1000000000000</f>
        <v>0</v>
      </c>
      <c r="S5" s="21">
        <f>'TX Calculations'!S378*1000000000000</f>
        <v>0</v>
      </c>
      <c r="T5" s="21">
        <f>'TX Calculations'!T378*1000000000000</f>
        <v>0</v>
      </c>
      <c r="U5" s="21">
        <f>'TX Calculations'!U378*1000000000000</f>
        <v>0</v>
      </c>
      <c r="V5" s="21">
        <f>'TX Calculations'!V378*1000000000000</f>
        <v>0</v>
      </c>
      <c r="W5" s="21">
        <f>'TX Calculations'!W378*1000000000000</f>
        <v>0</v>
      </c>
      <c r="X5" s="21">
        <f>'TX Calculations'!X378*1000000000000</f>
        <v>0</v>
      </c>
      <c r="Y5" s="21">
        <f>'TX Calculations'!Y378*1000000000000</f>
        <v>0</v>
      </c>
      <c r="Z5" s="21">
        <f>'TX Calculations'!Z378*1000000000000</f>
        <v>0</v>
      </c>
      <c r="AA5" s="21">
        <f>'TX Calculations'!AA378*1000000000000</f>
        <v>0</v>
      </c>
      <c r="AB5" s="21">
        <f>'TX Calculations'!AB378*1000000000000</f>
        <v>0</v>
      </c>
      <c r="AC5" s="21">
        <f>'TX Calculations'!AC378*1000000000000</f>
        <v>0</v>
      </c>
      <c r="AD5" s="21">
        <f>'TX Calculations'!AD378*1000000000000</f>
        <v>0</v>
      </c>
      <c r="AE5" s="21">
        <f>'TX Calculations'!AE378*1000000000000</f>
        <v>0</v>
      </c>
      <c r="AF5" s="21">
        <f>'TX Calculations'!AF378*1000000000000</f>
        <v>0</v>
      </c>
      <c r="AG5" s="21">
        <f>'TX Calculations'!AG378*1000000000000</f>
        <v>0</v>
      </c>
      <c r="AH5" s="21">
        <f>'TX Calculations'!AH378*1000000000000</f>
        <v>0</v>
      </c>
      <c r="AI5" s="21">
        <f>'TX Calculations'!AI378*1000000000000</f>
        <v>0</v>
      </c>
    </row>
    <row r="6" spans="1:35">
      <c r="A6" s="5" t="s">
        <v>570</v>
      </c>
      <c r="B6" s="21">
        <f>'TX Calculations'!B391*1000000000000</f>
        <v>0</v>
      </c>
      <c r="C6" s="21">
        <f>'TX Calculations'!C391*1000000000000</f>
        <v>0</v>
      </c>
      <c r="D6" s="21">
        <f>'TX Calculations'!D391*1000000000000</f>
        <v>0</v>
      </c>
      <c r="E6" s="21">
        <f>'TX Calculations'!E391*1000000000000</f>
        <v>0</v>
      </c>
      <c r="F6" s="21">
        <f>'TX Calculations'!F391*1000000000000</f>
        <v>0</v>
      </c>
      <c r="G6" s="21">
        <f>'TX Calculations'!G391*1000000000000</f>
        <v>0</v>
      </c>
      <c r="H6" s="21">
        <f>'TX Calculations'!H391*1000000000000</f>
        <v>0</v>
      </c>
      <c r="I6" s="21">
        <f>'TX Calculations'!I391*1000000000000</f>
        <v>0</v>
      </c>
      <c r="J6" s="21">
        <f>'TX Calculations'!J391*1000000000000</f>
        <v>0</v>
      </c>
      <c r="K6" s="21">
        <f>'TX Calculations'!K391*1000000000000</f>
        <v>0</v>
      </c>
      <c r="L6" s="21">
        <f>'TX Calculations'!L391*1000000000000</f>
        <v>0</v>
      </c>
      <c r="M6" s="21">
        <f>'TX Calculations'!M391*1000000000000</f>
        <v>0</v>
      </c>
      <c r="N6" s="21">
        <f>'TX Calculations'!N391*1000000000000</f>
        <v>0</v>
      </c>
      <c r="O6" s="21">
        <f>'TX Calculations'!O391*1000000000000</f>
        <v>0</v>
      </c>
      <c r="P6" s="21">
        <f>'TX Calculations'!P391*1000000000000</f>
        <v>0</v>
      </c>
      <c r="Q6" s="21">
        <f>'TX Calculations'!Q391*1000000000000</f>
        <v>0</v>
      </c>
      <c r="R6" s="21">
        <f>'TX Calculations'!R391*1000000000000</f>
        <v>0</v>
      </c>
      <c r="S6" s="21">
        <f>'TX Calculations'!S391*1000000000000</f>
        <v>0</v>
      </c>
      <c r="T6" s="21">
        <f>'TX Calculations'!T391*1000000000000</f>
        <v>0</v>
      </c>
      <c r="U6" s="21">
        <f>'TX Calculations'!U391*1000000000000</f>
        <v>0</v>
      </c>
      <c r="V6" s="21">
        <f>'TX Calculations'!V391*1000000000000</f>
        <v>0</v>
      </c>
      <c r="W6" s="21">
        <f>'TX Calculations'!W391*1000000000000</f>
        <v>0</v>
      </c>
      <c r="X6" s="21">
        <f>'TX Calculations'!X391*1000000000000</f>
        <v>0</v>
      </c>
      <c r="Y6" s="21">
        <f>'TX Calculations'!Y391*1000000000000</f>
        <v>0</v>
      </c>
      <c r="Z6" s="21">
        <f>'TX Calculations'!Z391*1000000000000</f>
        <v>0</v>
      </c>
      <c r="AA6" s="21">
        <f>'TX Calculations'!AA391*1000000000000</f>
        <v>0</v>
      </c>
      <c r="AB6" s="21">
        <f>'TX Calculations'!AB391*1000000000000</f>
        <v>0</v>
      </c>
      <c r="AC6" s="21">
        <f>'TX Calculations'!AC391*1000000000000</f>
        <v>0</v>
      </c>
      <c r="AD6" s="21">
        <f>'TX Calculations'!AD391*1000000000000</f>
        <v>0</v>
      </c>
      <c r="AE6" s="21">
        <f>'TX Calculations'!AE391*1000000000000</f>
        <v>0</v>
      </c>
      <c r="AF6" s="21">
        <f>'TX Calculations'!AF391*1000000000000</f>
        <v>0</v>
      </c>
      <c r="AG6" s="21">
        <f>'TX Calculations'!AG391*1000000000000</f>
        <v>0</v>
      </c>
      <c r="AH6" s="21">
        <f>'TX Calculations'!AH391*1000000000000</f>
        <v>0</v>
      </c>
      <c r="AI6" s="21">
        <f>'TX Calculations'!AI391*1000000000000</f>
        <v>0</v>
      </c>
    </row>
    <row r="7" spans="1:35">
      <c r="A7" s="5" t="s">
        <v>571</v>
      </c>
      <c r="B7" s="21">
        <f>'TX Calculations'!B404*1000000000000</f>
        <v>0</v>
      </c>
      <c r="C7" s="21">
        <f>'TX Calculations'!C404*1000000000000</f>
        <v>0</v>
      </c>
      <c r="D7" s="21">
        <f>'TX Calculations'!D404*1000000000000</f>
        <v>0</v>
      </c>
      <c r="E7" s="21">
        <f>'TX Calculations'!E404*1000000000000</f>
        <v>0</v>
      </c>
      <c r="F7" s="21">
        <f>'TX Calculations'!F404*1000000000000</f>
        <v>0</v>
      </c>
      <c r="G7" s="21">
        <f>'TX Calculations'!G404*1000000000000</f>
        <v>0</v>
      </c>
      <c r="H7" s="21">
        <f>'TX Calculations'!H404*1000000000000</f>
        <v>0</v>
      </c>
      <c r="I7" s="21">
        <f>'TX Calculations'!I404*1000000000000</f>
        <v>0</v>
      </c>
      <c r="J7" s="21">
        <f>'TX Calculations'!J404*1000000000000</f>
        <v>0</v>
      </c>
      <c r="K7" s="21">
        <f>'TX Calculations'!K404*1000000000000</f>
        <v>0</v>
      </c>
      <c r="L7" s="21">
        <f>'TX Calculations'!L404*1000000000000</f>
        <v>0</v>
      </c>
      <c r="M7" s="21">
        <f>'TX Calculations'!M404*1000000000000</f>
        <v>0</v>
      </c>
      <c r="N7" s="21">
        <f>'TX Calculations'!N404*1000000000000</f>
        <v>0</v>
      </c>
      <c r="O7" s="21">
        <f>'TX Calculations'!O404*1000000000000</f>
        <v>0</v>
      </c>
      <c r="P7" s="21">
        <f>'TX Calculations'!P404*1000000000000</f>
        <v>0</v>
      </c>
      <c r="Q7" s="21">
        <f>'TX Calculations'!Q404*1000000000000</f>
        <v>0</v>
      </c>
      <c r="R7" s="21">
        <f>'TX Calculations'!R404*1000000000000</f>
        <v>0</v>
      </c>
      <c r="S7" s="21">
        <f>'TX Calculations'!S404*1000000000000</f>
        <v>0</v>
      </c>
      <c r="T7" s="21">
        <f>'TX Calculations'!T404*1000000000000</f>
        <v>0</v>
      </c>
      <c r="U7" s="21">
        <f>'TX Calculations'!U404*1000000000000</f>
        <v>0</v>
      </c>
      <c r="V7" s="21">
        <f>'TX Calculations'!V404*1000000000000</f>
        <v>0</v>
      </c>
      <c r="W7" s="21">
        <f>'TX Calculations'!W404*1000000000000</f>
        <v>0</v>
      </c>
      <c r="X7" s="21">
        <f>'TX Calculations'!X404*1000000000000</f>
        <v>0</v>
      </c>
      <c r="Y7" s="21">
        <f>'TX Calculations'!Y404*1000000000000</f>
        <v>0</v>
      </c>
      <c r="Z7" s="21">
        <f>'TX Calculations'!Z404*1000000000000</f>
        <v>0</v>
      </c>
      <c r="AA7" s="21">
        <f>'TX Calculations'!AA404*1000000000000</f>
        <v>0</v>
      </c>
      <c r="AB7" s="21">
        <f>'TX Calculations'!AB404*1000000000000</f>
        <v>0</v>
      </c>
      <c r="AC7" s="21">
        <f>'TX Calculations'!AC404*1000000000000</f>
        <v>0</v>
      </c>
      <c r="AD7" s="21">
        <f>'TX Calculations'!AD404*1000000000000</f>
        <v>0</v>
      </c>
      <c r="AE7" s="21">
        <f>'TX Calculations'!AE404*1000000000000</f>
        <v>0</v>
      </c>
      <c r="AF7" s="21">
        <f>'TX Calculations'!AF404*1000000000000</f>
        <v>0</v>
      </c>
      <c r="AG7" s="21">
        <f>'TX Calculations'!AG404*1000000000000</f>
        <v>0</v>
      </c>
      <c r="AH7" s="21">
        <f>'TX Calculations'!AH404*1000000000000</f>
        <v>0</v>
      </c>
      <c r="AI7" s="21">
        <f>'TX Calculations'!AI404*1000000000000</f>
        <v>0</v>
      </c>
    </row>
    <row r="8" spans="1:35">
      <c r="A8" s="5" t="s">
        <v>572</v>
      </c>
      <c r="B8" s="21">
        <f>'TX Calculations'!B417*1000000000000</f>
        <v>0</v>
      </c>
      <c r="C8" s="21">
        <f>'TX Calculations'!C417*1000000000000</f>
        <v>0</v>
      </c>
      <c r="D8" s="21">
        <f>'TX Calculations'!D417*1000000000000</f>
        <v>0</v>
      </c>
      <c r="E8" s="21">
        <f>'TX Calculations'!E417*1000000000000</f>
        <v>0</v>
      </c>
      <c r="F8" s="21">
        <f>'TX Calculations'!F417*1000000000000</f>
        <v>0</v>
      </c>
      <c r="G8" s="21">
        <f>'TX Calculations'!G417*1000000000000</f>
        <v>0</v>
      </c>
      <c r="H8" s="21">
        <f>'TX Calculations'!H417*1000000000000</f>
        <v>0</v>
      </c>
      <c r="I8" s="21">
        <f>'TX Calculations'!I417*1000000000000</f>
        <v>0</v>
      </c>
      <c r="J8" s="21">
        <f>'TX Calculations'!J417*1000000000000</f>
        <v>0</v>
      </c>
      <c r="K8" s="21">
        <f>'TX Calculations'!K417*1000000000000</f>
        <v>0</v>
      </c>
      <c r="L8" s="21">
        <f>'TX Calculations'!L417*1000000000000</f>
        <v>0</v>
      </c>
      <c r="M8" s="21">
        <f>'TX Calculations'!M417*1000000000000</f>
        <v>0</v>
      </c>
      <c r="N8" s="21">
        <f>'TX Calculations'!N417*1000000000000</f>
        <v>0</v>
      </c>
      <c r="O8" s="21">
        <f>'TX Calculations'!O417*1000000000000</f>
        <v>0</v>
      </c>
      <c r="P8" s="21">
        <f>'TX Calculations'!P417*1000000000000</f>
        <v>0</v>
      </c>
      <c r="Q8" s="21">
        <f>'TX Calculations'!Q417*1000000000000</f>
        <v>0</v>
      </c>
      <c r="R8" s="21">
        <f>'TX Calculations'!R417*1000000000000</f>
        <v>0</v>
      </c>
      <c r="S8" s="21">
        <f>'TX Calculations'!S417*1000000000000</f>
        <v>0</v>
      </c>
      <c r="T8" s="21">
        <f>'TX Calculations'!T417*1000000000000</f>
        <v>0</v>
      </c>
      <c r="U8" s="21">
        <f>'TX Calculations'!U417*1000000000000</f>
        <v>0</v>
      </c>
      <c r="V8" s="21">
        <f>'TX Calculations'!V417*1000000000000</f>
        <v>0</v>
      </c>
      <c r="W8" s="21">
        <f>'TX Calculations'!W417*1000000000000</f>
        <v>0</v>
      </c>
      <c r="X8" s="21">
        <f>'TX Calculations'!X417*1000000000000</f>
        <v>0</v>
      </c>
      <c r="Y8" s="21">
        <f>'TX Calculations'!Y417*1000000000000</f>
        <v>0</v>
      </c>
      <c r="Z8" s="21">
        <f>'TX Calculations'!Z417*1000000000000</f>
        <v>0</v>
      </c>
      <c r="AA8" s="21">
        <f>'TX Calculations'!AA417*1000000000000</f>
        <v>0</v>
      </c>
      <c r="AB8" s="21">
        <f>'TX Calculations'!AB417*1000000000000</f>
        <v>0</v>
      </c>
      <c r="AC8" s="21">
        <f>'TX Calculations'!AC417*1000000000000</f>
        <v>0</v>
      </c>
      <c r="AD8" s="21">
        <f>'TX Calculations'!AD417*1000000000000</f>
        <v>0</v>
      </c>
      <c r="AE8" s="21">
        <f>'TX Calculations'!AE417*1000000000000</f>
        <v>0</v>
      </c>
      <c r="AF8" s="21">
        <f>'TX Calculations'!AF417*1000000000000</f>
        <v>0</v>
      </c>
      <c r="AG8" s="21">
        <f>'TX Calculations'!AG417*1000000000000</f>
        <v>0</v>
      </c>
      <c r="AH8" s="21">
        <f>'TX Calculations'!AH417*1000000000000</f>
        <v>0</v>
      </c>
      <c r="AI8" s="21">
        <f>'TX Calculations'!AI417*1000000000000</f>
        <v>0</v>
      </c>
    </row>
    <row r="9" spans="1:35">
      <c r="A9" s="5" t="s">
        <v>573</v>
      </c>
      <c r="B9" s="28">
        <f>'TX Calculations'!B430*1000000000000</f>
        <v>67797829723459.859</v>
      </c>
      <c r="C9" s="28">
        <f>'TX Calculations'!C430*1000000000000</f>
        <v>67937236954569.555</v>
      </c>
      <c r="D9" s="28">
        <f>'TX Calculations'!D430*1000000000000</f>
        <v>68076644185679.258</v>
      </c>
      <c r="E9" s="28">
        <f>'TX Calculations'!E430*1000000000000</f>
        <v>68216051416788.961</v>
      </c>
      <c r="F9" s="28">
        <f>'TX Calculations'!F430*1000000000000</f>
        <v>68355458647898.656</v>
      </c>
      <c r="G9" s="28">
        <f>'TX Calculations'!G430*1000000000000</f>
        <v>68494865879008.359</v>
      </c>
      <c r="H9" s="28">
        <f>'TX Calculations'!H430*1000000000000</f>
        <v>68634273110118.063</v>
      </c>
      <c r="I9" s="28">
        <f>'TX Calculations'!I430*1000000000000</f>
        <v>68773680341227.758</v>
      </c>
      <c r="J9" s="28">
        <f>'TX Calculations'!J430*1000000000000</f>
        <v>68913087572337.445</v>
      </c>
      <c r="K9" s="28">
        <f>'TX Calculations'!K430*1000000000000</f>
        <v>69052494803447.148</v>
      </c>
      <c r="L9" s="28">
        <f>'TX Calculations'!L430*1000000000000</f>
        <v>69191902034556.844</v>
      </c>
      <c r="M9" s="28">
        <f>'TX Calculations'!M430*1000000000000</f>
        <v>69331309265666.547</v>
      </c>
      <c r="N9" s="28">
        <f>'TX Calculations'!N430*1000000000000</f>
        <v>69470716496776.25</v>
      </c>
      <c r="O9" s="28">
        <f>'TX Calculations'!O430*1000000000000</f>
        <v>69610123727885.945</v>
      </c>
      <c r="P9" s="28">
        <f>'TX Calculations'!P430*1000000000000</f>
        <v>69749530958995.648</v>
      </c>
      <c r="Q9" s="28">
        <f>'TX Calculations'!Q430*1000000000000</f>
        <v>69888938190105.352</v>
      </c>
      <c r="R9" s="28">
        <f>'TX Calculations'!R430*1000000000000</f>
        <v>70028345421215.047</v>
      </c>
      <c r="S9" s="28">
        <f>'TX Calculations'!S430*1000000000000</f>
        <v>70167752652324.75</v>
      </c>
      <c r="T9" s="28">
        <f>'TX Calculations'!T430*1000000000000</f>
        <v>70307159883434.453</v>
      </c>
      <c r="U9" s="28">
        <f>'TX Calculations'!U430*1000000000000</f>
        <v>70446567114544.141</v>
      </c>
      <c r="V9" s="28">
        <f>'TX Calculations'!V430*1000000000000</f>
        <v>70585974345653.844</v>
      </c>
      <c r="W9" s="28">
        <f>'TX Calculations'!W430*1000000000000</f>
        <v>70725381576763.531</v>
      </c>
      <c r="X9" s="28">
        <f>'TX Calculations'!X430*1000000000000</f>
        <v>70864788807873.234</v>
      </c>
      <c r="Y9" s="28">
        <f>'TX Calculations'!Y430*1000000000000</f>
        <v>71004196038982.938</v>
      </c>
      <c r="Z9" s="28">
        <f>'TX Calculations'!Z430*1000000000000</f>
        <v>71143603270092.641</v>
      </c>
      <c r="AA9" s="28">
        <f>'TX Calculations'!AA430*1000000000000</f>
        <v>71283010501202.344</v>
      </c>
      <c r="AB9" s="28">
        <f>'TX Calculations'!AB430*1000000000000</f>
        <v>71422417732312.047</v>
      </c>
      <c r="AC9" s="28">
        <f>'TX Calculations'!AC430*1000000000000</f>
        <v>71561824963421.734</v>
      </c>
      <c r="AD9" s="28">
        <f>'TX Calculations'!AD430*1000000000000</f>
        <v>71701232194531.438</v>
      </c>
      <c r="AE9" s="28">
        <f>'TX Calculations'!AE430*1000000000000</f>
        <v>71840639425641.141</v>
      </c>
      <c r="AF9" s="28">
        <f>'TX Calculations'!AF430*1000000000000</f>
        <v>71980046656750.844</v>
      </c>
      <c r="AG9" s="28">
        <f>'TX Calculations'!AG430*1000000000000</f>
        <v>72119453887860.531</v>
      </c>
      <c r="AH9" s="28">
        <f>'TX Calculations'!AH430*1000000000000</f>
        <v>72258861118970.234</v>
      </c>
      <c r="AI9" s="28">
        <f>'TX Calculations'!AI430*1000000000000</f>
        <v>72398268350080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13" sqref="C13"/>
    </sheetView>
  </sheetViews>
  <sheetFormatPr defaultColWidth="9.1328125" defaultRowHeight="14.25"/>
  <cols>
    <col min="1" max="1" width="39.796875" style="5" customWidth="1"/>
    <col min="2" max="2" width="10.33203125" style="5" bestFit="1" customWidth="1"/>
    <col min="3" max="35" width="9.6640625" style="5" bestFit="1" customWidth="1"/>
    <col min="36"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21">
        <f>'TX Calculations'!B340*1000000000000</f>
        <v>1005488842498.212</v>
      </c>
      <c r="C2" s="21">
        <f>'TX Calculations'!C340*1000000000000</f>
        <v>1017787278759.7246</v>
      </c>
      <c r="D2" s="21">
        <f>'TX Calculations'!D340*1000000000000</f>
        <v>1030085715021.2373</v>
      </c>
      <c r="E2" s="21">
        <f>'TX Calculations'!E340*1000000000000</f>
        <v>1042384151282.7496</v>
      </c>
      <c r="F2" s="21">
        <f>'TX Calculations'!F340*1000000000000</f>
        <v>1054682587544.2622</v>
      </c>
      <c r="G2" s="21">
        <f>'TX Calculations'!G340*1000000000000</f>
        <v>1066981023805.7749</v>
      </c>
      <c r="H2" s="21">
        <f>'TX Calculations'!H340*1000000000000</f>
        <v>1079279460067.2872</v>
      </c>
      <c r="I2" s="21">
        <f>'TX Calculations'!I340*1000000000000</f>
        <v>1091577896328.7999</v>
      </c>
      <c r="J2" s="21">
        <f>'TX Calculations'!J340*1000000000000</f>
        <v>1103876332590.3125</v>
      </c>
      <c r="K2" s="21">
        <f>'TX Calculations'!K340*1000000000000</f>
        <v>1116174768851.825</v>
      </c>
      <c r="L2" s="21">
        <f>'TX Calculations'!L340*1000000000000</f>
        <v>1128473205113.3374</v>
      </c>
      <c r="M2" s="21">
        <f>'TX Calculations'!M340*1000000000000</f>
        <v>1140771641374.8499</v>
      </c>
      <c r="N2" s="21">
        <f>'TX Calculations'!N340*1000000000000</f>
        <v>1153070077636.3625</v>
      </c>
      <c r="O2" s="21">
        <f>'TX Calculations'!O340*1000000000000</f>
        <v>1165368513897.875</v>
      </c>
      <c r="P2" s="21">
        <f>'TX Calculations'!P340*1000000000000</f>
        <v>1177666950159.3875</v>
      </c>
      <c r="Q2" s="21">
        <f>'TX Calculations'!Q340*1000000000000</f>
        <v>1189965386420.9001</v>
      </c>
      <c r="R2" s="21">
        <f>'TX Calculations'!R340*1000000000000</f>
        <v>1202263822682.4126</v>
      </c>
      <c r="S2" s="21">
        <f>'TX Calculations'!S340*1000000000000</f>
        <v>1214562258943.925</v>
      </c>
      <c r="T2" s="21">
        <f>'TX Calculations'!T340*1000000000000</f>
        <v>1226860695205.4377</v>
      </c>
      <c r="U2" s="21">
        <f>'TX Calculations'!U340*1000000000000</f>
        <v>1239159131466.9504</v>
      </c>
      <c r="V2" s="21">
        <f>'TX Calculations'!V340*1000000000000</f>
        <v>1251457567728.4626</v>
      </c>
      <c r="W2" s="21">
        <f>'TX Calculations'!W340*1000000000000</f>
        <v>1263756003989.9753</v>
      </c>
      <c r="X2" s="21">
        <f>'TX Calculations'!X340*1000000000000</f>
        <v>1276054440251.488</v>
      </c>
      <c r="Y2" s="21">
        <f>'TX Calculations'!Y340*1000000000000</f>
        <v>1288352876513.0002</v>
      </c>
      <c r="Z2" s="21">
        <f>'TX Calculations'!Z340*1000000000000</f>
        <v>1300651312774.5129</v>
      </c>
      <c r="AA2" s="21">
        <f>'TX Calculations'!AA340*1000000000000</f>
        <v>1312949749036.0254</v>
      </c>
      <c r="AB2" s="21">
        <f>'TX Calculations'!AB340*1000000000000</f>
        <v>1325248185297.5378</v>
      </c>
      <c r="AC2" s="21">
        <f>'TX Calculations'!AC340*1000000000000</f>
        <v>1337546621559.0505</v>
      </c>
      <c r="AD2" s="21">
        <f>'TX Calculations'!AD340*1000000000000</f>
        <v>1349845057820.563</v>
      </c>
      <c r="AE2" s="21">
        <f>'TX Calculations'!AE340*1000000000000</f>
        <v>1362143494082.0757</v>
      </c>
      <c r="AF2" s="21">
        <f>'TX Calculations'!AF340*1000000000000</f>
        <v>1374441930343.5881</v>
      </c>
      <c r="AG2" s="21">
        <f>'TX Calculations'!AG340*1000000000000</f>
        <v>1386740366605.1006</v>
      </c>
      <c r="AH2" s="21">
        <f>'TX Calculations'!AH340*1000000000000</f>
        <v>1399038802866.6133</v>
      </c>
      <c r="AI2" s="21">
        <f>'TX Calculations'!AI340*1000000000000</f>
        <v>1411337239128.1262</v>
      </c>
    </row>
    <row r="3" spans="1:35">
      <c r="A3" s="5" t="s">
        <v>567</v>
      </c>
      <c r="B3" s="21">
        <f>'TX Calculations'!B353*1000000000000</f>
        <v>97832974094006.188</v>
      </c>
      <c r="C3" s="21">
        <f>'TX Calculations'!C353*1000000000000</f>
        <v>99029598606695.891</v>
      </c>
      <c r="D3" s="21">
        <f>'TX Calculations'!D353*1000000000000</f>
        <v>100226223119385.56</v>
      </c>
      <c r="E3" s="21">
        <f>'TX Calculations'!E353*1000000000000</f>
        <v>101422847632075.27</v>
      </c>
      <c r="F3" s="21">
        <f>'TX Calculations'!F353*1000000000000</f>
        <v>102619472144764.94</v>
      </c>
      <c r="G3" s="21">
        <f>'TX Calculations'!G353*1000000000000</f>
        <v>103816096657454.64</v>
      </c>
      <c r="H3" s="21">
        <f>'TX Calculations'!H353*1000000000000</f>
        <v>105012721170144.31</v>
      </c>
      <c r="I3" s="21">
        <f>'TX Calculations'!I353*1000000000000</f>
        <v>106209345682834.02</v>
      </c>
      <c r="J3" s="21">
        <f>'TX Calculations'!J353*1000000000000</f>
        <v>107405970195523.7</v>
      </c>
      <c r="K3" s="21">
        <f>'TX Calculations'!K353*1000000000000</f>
        <v>108602594708213.39</v>
      </c>
      <c r="L3" s="21">
        <f>'TX Calculations'!L353*1000000000000</f>
        <v>109799219220903.08</v>
      </c>
      <c r="M3" s="21">
        <f>'TX Calculations'!M353*1000000000000</f>
        <v>110995843733592.77</v>
      </c>
      <c r="N3" s="21">
        <f>'TX Calculations'!N353*1000000000000</f>
        <v>112192468246282.45</v>
      </c>
      <c r="O3" s="21">
        <f>'TX Calculations'!O353*1000000000000</f>
        <v>113389092758972.14</v>
      </c>
      <c r="P3" s="21">
        <f>'TX Calculations'!P353*1000000000000</f>
        <v>114585717271661.83</v>
      </c>
      <c r="Q3" s="21">
        <f>'TX Calculations'!Q353*1000000000000</f>
        <v>115782341784351.52</v>
      </c>
      <c r="R3" s="21">
        <f>'TX Calculations'!R353*1000000000000</f>
        <v>116978966297041.22</v>
      </c>
      <c r="S3" s="21">
        <f>'TX Calculations'!S353*1000000000000</f>
        <v>118175590809730.89</v>
      </c>
      <c r="T3" s="21">
        <f>'TX Calculations'!T353*1000000000000</f>
        <v>119372215322420.59</v>
      </c>
      <c r="U3" s="21">
        <f>'TX Calculations'!U353*1000000000000</f>
        <v>120568839835110.28</v>
      </c>
      <c r="V3" s="21">
        <f>'TX Calculations'!V353*1000000000000</f>
        <v>121765464347799.97</v>
      </c>
      <c r="W3" s="21">
        <f>'TX Calculations'!W353*1000000000000</f>
        <v>122962088860489.66</v>
      </c>
      <c r="X3" s="21">
        <f>'TX Calculations'!X353*1000000000000</f>
        <v>124158713373179.34</v>
      </c>
      <c r="Y3" s="21">
        <f>'TX Calculations'!Y353*1000000000000</f>
        <v>125355337885869.03</v>
      </c>
      <c r="Z3" s="21">
        <f>'TX Calculations'!Z353*1000000000000</f>
        <v>126551962398558.72</v>
      </c>
      <c r="AA3" s="21">
        <f>'TX Calculations'!AA353*1000000000000</f>
        <v>127748586911248.41</v>
      </c>
      <c r="AB3" s="21">
        <f>'TX Calculations'!AB353*1000000000000</f>
        <v>128945211423938.11</v>
      </c>
      <c r="AC3" s="21">
        <f>'TX Calculations'!AC353*1000000000000</f>
        <v>130141835936627.78</v>
      </c>
      <c r="AD3" s="21">
        <f>'TX Calculations'!AD353*1000000000000</f>
        <v>131338460449317.47</v>
      </c>
      <c r="AE3" s="21">
        <f>'TX Calculations'!AE353*1000000000000</f>
        <v>132535084962007.14</v>
      </c>
      <c r="AF3" s="21">
        <f>'TX Calculations'!AF353*1000000000000</f>
        <v>133731709474696.86</v>
      </c>
      <c r="AG3" s="21">
        <f>'TX Calculations'!AG353*1000000000000</f>
        <v>134928333987386.53</v>
      </c>
      <c r="AH3" s="21">
        <f>'TX Calculations'!AH353*1000000000000</f>
        <v>136124958500076.22</v>
      </c>
      <c r="AI3" s="21">
        <f>'TX Calculations'!AI353*1000000000000</f>
        <v>137321583012765.98</v>
      </c>
    </row>
    <row r="4" spans="1:35">
      <c r="A4" s="5" t="s">
        <v>568</v>
      </c>
      <c r="B4" s="21">
        <f>'TX Calculations'!B366*1000000000000</f>
        <v>125686105312.2765</v>
      </c>
      <c r="C4" s="21">
        <f>'TX Calculations'!C366*1000000000000</f>
        <v>127223409844.96558</v>
      </c>
      <c r="D4" s="21">
        <f>'TX Calculations'!D366*1000000000000</f>
        <v>128760714377.65466</v>
      </c>
      <c r="E4" s="21">
        <f>'TX Calculations'!E366*1000000000000</f>
        <v>130298018910.3437</v>
      </c>
      <c r="F4" s="21">
        <f>'TX Calculations'!F366*1000000000000</f>
        <v>131835323443.03278</v>
      </c>
      <c r="G4" s="21">
        <f>'TX Calculations'!G366*1000000000000</f>
        <v>133372627975.72186</v>
      </c>
      <c r="H4" s="21">
        <f>'TX Calculations'!H366*1000000000000</f>
        <v>134909932508.4109</v>
      </c>
      <c r="I4" s="21">
        <f>'TX Calculations'!I366*1000000000000</f>
        <v>136447237041.09999</v>
      </c>
      <c r="J4" s="21">
        <f>'TX Calculations'!J366*1000000000000</f>
        <v>137984541573.78906</v>
      </c>
      <c r="K4" s="21">
        <f>'TX Calculations'!K366*1000000000000</f>
        <v>139521846106.47812</v>
      </c>
      <c r="L4" s="21">
        <f>'TX Calculations'!L366*1000000000000</f>
        <v>141059150639.16718</v>
      </c>
      <c r="M4" s="21">
        <f>'TX Calculations'!M366*1000000000000</f>
        <v>142596455171.85623</v>
      </c>
      <c r="N4" s="21">
        <f>'TX Calculations'!N366*1000000000000</f>
        <v>144133759704.54532</v>
      </c>
      <c r="O4" s="21">
        <f>'TX Calculations'!O366*1000000000000</f>
        <v>145671064237.23438</v>
      </c>
      <c r="P4" s="21">
        <f>'TX Calculations'!P366*1000000000000</f>
        <v>147208368769.92343</v>
      </c>
      <c r="Q4" s="21">
        <f>'TX Calculations'!Q366*1000000000000</f>
        <v>148745673302.61252</v>
      </c>
      <c r="R4" s="21">
        <f>'TX Calculations'!R366*1000000000000</f>
        <v>150282977835.30157</v>
      </c>
      <c r="S4" s="21">
        <f>'TX Calculations'!S366*1000000000000</f>
        <v>151820282367.99063</v>
      </c>
      <c r="T4" s="21">
        <f>'TX Calculations'!T366*1000000000000</f>
        <v>153357586900.67972</v>
      </c>
      <c r="U4" s="21">
        <f>'TX Calculations'!U366*1000000000000</f>
        <v>154894891433.3688</v>
      </c>
      <c r="V4" s="21">
        <f>'TX Calculations'!V366*1000000000000</f>
        <v>156432195966.05783</v>
      </c>
      <c r="W4" s="21">
        <f>'TX Calculations'!W366*1000000000000</f>
        <v>157969500498.74692</v>
      </c>
      <c r="X4" s="21">
        <f>'TX Calculations'!X366*1000000000000</f>
        <v>159506805031.436</v>
      </c>
      <c r="Y4" s="21">
        <f>'TX Calculations'!Y366*1000000000000</f>
        <v>161044109564.12503</v>
      </c>
      <c r="Z4" s="21">
        <f>'TX Calculations'!Z366*1000000000000</f>
        <v>162581414096.81412</v>
      </c>
      <c r="AA4" s="21">
        <f>'TX Calculations'!AA366*1000000000000</f>
        <v>164118718629.50317</v>
      </c>
      <c r="AB4" s="21">
        <f>'TX Calculations'!AB366*1000000000000</f>
        <v>165656023162.19223</v>
      </c>
      <c r="AC4" s="21">
        <f>'TX Calculations'!AC366*1000000000000</f>
        <v>167193327694.88132</v>
      </c>
      <c r="AD4" s="21">
        <f>'TX Calculations'!AD366*1000000000000</f>
        <v>168730632227.57037</v>
      </c>
      <c r="AE4" s="21">
        <f>'TX Calculations'!AE366*1000000000000</f>
        <v>170267936760.25946</v>
      </c>
      <c r="AF4" s="21">
        <f>'TX Calculations'!AF366*1000000000000</f>
        <v>171805241292.94852</v>
      </c>
      <c r="AG4" s="21">
        <f>'TX Calculations'!AG366*1000000000000</f>
        <v>173342545825.63757</v>
      </c>
      <c r="AH4" s="21">
        <f>'TX Calculations'!AH366*1000000000000</f>
        <v>174879850358.32666</v>
      </c>
      <c r="AI4" s="21">
        <f>'TX Calculations'!AI366*1000000000000</f>
        <v>176417154891.01578</v>
      </c>
    </row>
    <row r="5" spans="1:35">
      <c r="A5" s="5" t="s">
        <v>569</v>
      </c>
      <c r="B5" s="21">
        <f>'TX Calculations'!B379*1000000000000</f>
        <v>691273579217.52075</v>
      </c>
      <c r="C5" s="21">
        <f>'TX Calculations'!C379*1000000000000</f>
        <v>699728754147.31067</v>
      </c>
      <c r="D5" s="21">
        <f>'TX Calculations'!D379*1000000000000</f>
        <v>708183929077.10046</v>
      </c>
      <c r="E5" s="21">
        <f>'TX Calculations'!E379*1000000000000</f>
        <v>716639104006.89038</v>
      </c>
      <c r="F5" s="21">
        <f>'TX Calculations'!F379*1000000000000</f>
        <v>725094278936.68018</v>
      </c>
      <c r="G5" s="21">
        <f>'TX Calculations'!G379*1000000000000</f>
        <v>733549453866.47009</v>
      </c>
      <c r="H5" s="21">
        <f>'TX Calculations'!H379*1000000000000</f>
        <v>742004628796.25989</v>
      </c>
      <c r="I5" s="21">
        <f>'TX Calculations'!I379*1000000000000</f>
        <v>750459803726.0498</v>
      </c>
      <c r="J5" s="21">
        <f>'TX Calculations'!J379*1000000000000</f>
        <v>758914978655.83972</v>
      </c>
      <c r="K5" s="21">
        <f>'TX Calculations'!K379*1000000000000</f>
        <v>767370153585.62952</v>
      </c>
      <c r="L5" s="21">
        <f>'TX Calculations'!L379*1000000000000</f>
        <v>775825328515.41943</v>
      </c>
      <c r="M5" s="21">
        <f>'TX Calculations'!M379*1000000000000</f>
        <v>784280503445.20923</v>
      </c>
      <c r="N5" s="21">
        <f>'TX Calculations'!N379*1000000000000</f>
        <v>792735678374.99915</v>
      </c>
      <c r="O5" s="21">
        <f>'TX Calculations'!O379*1000000000000</f>
        <v>801190853304.78906</v>
      </c>
      <c r="P5" s="21">
        <f>'TX Calculations'!P379*1000000000000</f>
        <v>809646028234.57886</v>
      </c>
      <c r="Q5" s="21">
        <f>'TX Calculations'!Q379*1000000000000</f>
        <v>818101203164.36877</v>
      </c>
      <c r="R5" s="21">
        <f>'TX Calculations'!R379*1000000000000</f>
        <v>826556378094.15857</v>
      </c>
      <c r="S5" s="21">
        <f>'TX Calculations'!S379*1000000000000</f>
        <v>835011553023.94849</v>
      </c>
      <c r="T5" s="21">
        <f>'TX Calculations'!T379*1000000000000</f>
        <v>843466727953.73828</v>
      </c>
      <c r="U5" s="21">
        <f>'TX Calculations'!U379*1000000000000</f>
        <v>851921902883.5282</v>
      </c>
      <c r="V5" s="21">
        <f>'TX Calculations'!V379*1000000000000</f>
        <v>860377077813.31812</v>
      </c>
      <c r="W5" s="21">
        <f>'TX Calculations'!W379*1000000000000</f>
        <v>868832252743.10791</v>
      </c>
      <c r="X5" s="21">
        <f>'TX Calculations'!X379*1000000000000</f>
        <v>877287427672.89783</v>
      </c>
      <c r="Y5" s="21">
        <f>'TX Calculations'!Y379*1000000000000</f>
        <v>885742602602.68762</v>
      </c>
      <c r="Z5" s="21">
        <f>'TX Calculations'!Z379*1000000000000</f>
        <v>894197777532.47754</v>
      </c>
      <c r="AA5" s="21">
        <f>'TX Calculations'!AA379*1000000000000</f>
        <v>902652952462.26746</v>
      </c>
      <c r="AB5" s="21">
        <f>'TX Calculations'!AB379*1000000000000</f>
        <v>911108127392.05725</v>
      </c>
      <c r="AC5" s="21">
        <f>'TX Calculations'!AC379*1000000000000</f>
        <v>919563302321.84717</v>
      </c>
      <c r="AD5" s="21">
        <f>'TX Calculations'!AD379*1000000000000</f>
        <v>928018477251.63696</v>
      </c>
      <c r="AE5" s="21">
        <f>'TX Calculations'!AE379*1000000000000</f>
        <v>936473652181.42688</v>
      </c>
      <c r="AF5" s="21">
        <f>'TX Calculations'!AF379*1000000000000</f>
        <v>944928827111.21667</v>
      </c>
      <c r="AG5" s="21">
        <f>'TX Calculations'!AG379*1000000000000</f>
        <v>953384002041.00659</v>
      </c>
      <c r="AH5" s="21">
        <f>'TX Calculations'!AH379*1000000000000</f>
        <v>961839176970.79651</v>
      </c>
      <c r="AI5" s="21">
        <f>'TX Calculations'!AI379*1000000000000</f>
        <v>970294351900.58679</v>
      </c>
    </row>
    <row r="6" spans="1:35">
      <c r="A6" s="5" t="s">
        <v>570</v>
      </c>
      <c r="B6" s="21">
        <f>'TX Calculations'!B392*1000000000000</f>
        <v>11613387686103.457</v>
      </c>
      <c r="C6" s="21">
        <f>'TX Calculations'!C392*1000000000000</f>
        <v>11755434521633.641</v>
      </c>
      <c r="D6" s="21">
        <f>'TX Calculations'!D392*1000000000000</f>
        <v>11897481357163.822</v>
      </c>
      <c r="E6" s="21">
        <f>'TX Calculations'!E392*1000000000000</f>
        <v>11376113851019.004</v>
      </c>
      <c r="F6" s="21">
        <f>'TX Calculations'!F392*1000000000000</f>
        <v>10469931810162.838</v>
      </c>
      <c r="G6" s="21">
        <f>'TX Calculations'!G392*1000000000000</f>
        <v>9825861011181.8809</v>
      </c>
      <c r="H6" s="21">
        <f>'TX Calculations'!H392*1000000000000</f>
        <v>9244781952137.0996</v>
      </c>
      <c r="I6" s="21">
        <f>'TX Calculations'!I392*1000000000000</f>
        <v>8577324634472.0273</v>
      </c>
      <c r="J6" s="21">
        <f>'TX Calculations'!J392*1000000000000</f>
        <v>7836306085309.6514</v>
      </c>
      <c r="K6" s="21">
        <f>'TX Calculations'!K392*1000000000000</f>
        <v>7060724083858.2832</v>
      </c>
      <c r="L6" s="21">
        <f>'TX Calculations'!L392*1000000000000</f>
        <v>6282135244290.3877</v>
      </c>
      <c r="M6" s="21">
        <f>'TX Calculations'!M392*1000000000000</f>
        <v>5502969334780.9346</v>
      </c>
      <c r="N6" s="21">
        <f>'TX Calculations'!N392*1000000000000</f>
        <v>4720189145111.21</v>
      </c>
      <c r="O6" s="21">
        <f>'TX Calculations'!O392*1000000000000</f>
        <v>3937469699645.8594</v>
      </c>
      <c r="P6" s="21">
        <f>'TX Calculations'!P392*1000000000000</f>
        <v>3153930207421.4561</v>
      </c>
      <c r="Q6" s="21">
        <f>'TX Calculations'!Q392*1000000000000</f>
        <v>2370427161719.6772</v>
      </c>
      <c r="R6" s="21">
        <f>'TX Calculations'!R392*1000000000000</f>
        <v>1586362232127.436</v>
      </c>
      <c r="S6" s="21">
        <f>'TX Calculations'!S392*1000000000000</f>
        <v>802072548979.00964</v>
      </c>
      <c r="T6" s="21">
        <f>'TX Calculations'!T392*1000000000000</f>
        <v>17613662849.29863</v>
      </c>
      <c r="U6" s="21">
        <f>'TX Calculations'!U392*1000000000000</f>
        <v>16006128224.736523</v>
      </c>
      <c r="V6" s="21">
        <f>'TX Calculations'!V392*1000000000000</f>
        <v>16006462317.86058</v>
      </c>
      <c r="W6" s="21">
        <f>'TX Calculations'!W392*1000000000000</f>
        <v>16007950550.86775</v>
      </c>
      <c r="X6" s="21">
        <f>'TX Calculations'!X392*1000000000000</f>
        <v>16009469155.977108</v>
      </c>
      <c r="Y6" s="21">
        <f>'TX Calculations'!Y392*1000000000000</f>
        <v>16010957388.984278</v>
      </c>
      <c r="Z6" s="21">
        <f>'TX Calculations'!Z392*1000000000000</f>
        <v>16012445621.991451</v>
      </c>
      <c r="AA6" s="21">
        <f>'TX Calculations'!AA392*1000000000000</f>
        <v>16013964227.100809</v>
      </c>
      <c r="AB6" s="21">
        <f>'TX Calculations'!AB392*1000000000000</f>
        <v>16015452460.107979</v>
      </c>
      <c r="AC6" s="21">
        <f>'TX Calculations'!AC392*1000000000000</f>
        <v>16016971065.217337</v>
      </c>
      <c r="AD6" s="21">
        <f>'TX Calculations'!AD392*1000000000000</f>
        <v>16018459298.224506</v>
      </c>
      <c r="AE6" s="21">
        <f>'TX Calculations'!AE392*1000000000000</f>
        <v>16019947531.231676</v>
      </c>
      <c r="AF6" s="21">
        <f>'TX Calculations'!AF392*1000000000000</f>
        <v>16021435764.238846</v>
      </c>
      <c r="AG6" s="21">
        <f>'TX Calculations'!AG392*1000000000000</f>
        <v>16022954369.348204</v>
      </c>
      <c r="AH6" s="21">
        <f>'TX Calculations'!AH392*1000000000000</f>
        <v>16024442602.355373</v>
      </c>
      <c r="AI6" s="21">
        <f>'TX Calculations'!AI392*1000000000000</f>
        <v>16025930835.362547</v>
      </c>
    </row>
    <row r="7" spans="1:35">
      <c r="A7" s="5" t="s">
        <v>571</v>
      </c>
      <c r="B7" s="21">
        <f>'TX Calculations'!B405*1000000000000</f>
        <v>0</v>
      </c>
      <c r="C7" s="21">
        <f>'TX Calculations'!C405*1000000000000</f>
        <v>0</v>
      </c>
      <c r="D7" s="21">
        <f>'TX Calculations'!D405*1000000000000</f>
        <v>0</v>
      </c>
      <c r="E7" s="21">
        <f>'TX Calculations'!E405*1000000000000</f>
        <v>0</v>
      </c>
      <c r="F7" s="21">
        <f>'TX Calculations'!F405*1000000000000</f>
        <v>0</v>
      </c>
      <c r="G7" s="21">
        <f>'TX Calculations'!G405*1000000000000</f>
        <v>0</v>
      </c>
      <c r="H7" s="21">
        <f>'TX Calculations'!H405*1000000000000</f>
        <v>0</v>
      </c>
      <c r="I7" s="21">
        <f>'TX Calculations'!I405*1000000000000</f>
        <v>0</v>
      </c>
      <c r="J7" s="21">
        <f>'TX Calculations'!J405*1000000000000</f>
        <v>0</v>
      </c>
      <c r="K7" s="21">
        <f>'TX Calculations'!K405*1000000000000</f>
        <v>0</v>
      </c>
      <c r="L7" s="21">
        <f>'TX Calculations'!L405*1000000000000</f>
        <v>0</v>
      </c>
      <c r="M7" s="21">
        <f>'TX Calculations'!M405*1000000000000</f>
        <v>0</v>
      </c>
      <c r="N7" s="21">
        <f>'TX Calculations'!N405*1000000000000</f>
        <v>0</v>
      </c>
      <c r="O7" s="21">
        <f>'TX Calculations'!O405*1000000000000</f>
        <v>0</v>
      </c>
      <c r="P7" s="21">
        <f>'TX Calculations'!P405*1000000000000</f>
        <v>0</v>
      </c>
      <c r="Q7" s="21">
        <f>'TX Calculations'!Q405*1000000000000</f>
        <v>0</v>
      </c>
      <c r="R7" s="21">
        <f>'TX Calculations'!R405*1000000000000</f>
        <v>0</v>
      </c>
      <c r="S7" s="21">
        <f>'TX Calculations'!S405*1000000000000</f>
        <v>0</v>
      </c>
      <c r="T7" s="21">
        <f>'TX Calculations'!T405*1000000000000</f>
        <v>0</v>
      </c>
      <c r="U7" s="21">
        <f>'TX Calculations'!U405*1000000000000</f>
        <v>0</v>
      </c>
      <c r="V7" s="21">
        <f>'TX Calculations'!V405*1000000000000</f>
        <v>0</v>
      </c>
      <c r="W7" s="21">
        <f>'TX Calculations'!W405*1000000000000</f>
        <v>0</v>
      </c>
      <c r="X7" s="21">
        <f>'TX Calculations'!X405*1000000000000</f>
        <v>0</v>
      </c>
      <c r="Y7" s="21">
        <f>'TX Calculations'!Y405*1000000000000</f>
        <v>0</v>
      </c>
      <c r="Z7" s="21">
        <f>'TX Calculations'!Z405*1000000000000</f>
        <v>0</v>
      </c>
      <c r="AA7" s="21">
        <f>'TX Calculations'!AA405*1000000000000</f>
        <v>0</v>
      </c>
      <c r="AB7" s="21">
        <f>'TX Calculations'!AB405*1000000000000</f>
        <v>0</v>
      </c>
      <c r="AC7" s="21">
        <f>'TX Calculations'!AC405*1000000000000</f>
        <v>0</v>
      </c>
      <c r="AD7" s="21">
        <f>'TX Calculations'!AD405*1000000000000</f>
        <v>0</v>
      </c>
      <c r="AE7" s="21">
        <f>'TX Calculations'!AE405*1000000000000</f>
        <v>0</v>
      </c>
      <c r="AF7" s="21">
        <f>'TX Calculations'!AF405*1000000000000</f>
        <v>0</v>
      </c>
      <c r="AG7" s="21">
        <f>'TX Calculations'!AG405*1000000000000</f>
        <v>0</v>
      </c>
      <c r="AH7" s="21">
        <f>'TX Calculations'!AH405*1000000000000</f>
        <v>0</v>
      </c>
      <c r="AI7" s="21">
        <f>'TX Calculations'!AI405*1000000000000</f>
        <v>0</v>
      </c>
    </row>
    <row r="8" spans="1:35">
      <c r="A8" s="5" t="s">
        <v>572</v>
      </c>
      <c r="B8" s="21">
        <f>'TX Calculations'!B418*1000000000000</f>
        <v>156552650108548.38</v>
      </c>
      <c r="C8" s="21">
        <f>'TX Calculations'!C418*1000000000000</f>
        <v>158467492628478.47</v>
      </c>
      <c r="D8" s="21">
        <f>'TX Calculations'!D418*1000000000000</f>
        <v>160382335148408.5</v>
      </c>
      <c r="E8" s="21">
        <f>'TX Calculations'!E418*1000000000000</f>
        <v>162297177668338.59</v>
      </c>
      <c r="F8" s="21">
        <f>'TX Calculations'!F418*1000000000000</f>
        <v>164212020188268.69</v>
      </c>
      <c r="G8" s="21">
        <f>'TX Calculations'!G418*1000000000000</f>
        <v>166126862708198.75</v>
      </c>
      <c r="H8" s="21">
        <f>'TX Calculations'!H418*1000000000000</f>
        <v>168041705228128.84</v>
      </c>
      <c r="I8" s="21">
        <f>'TX Calculations'!I418*1000000000000</f>
        <v>169956547748058.91</v>
      </c>
      <c r="J8" s="21">
        <f>'TX Calculations'!J418*1000000000000</f>
        <v>171871390267989</v>
      </c>
      <c r="K8" s="21">
        <f>'TX Calculations'!K418*1000000000000</f>
        <v>173786232787919.09</v>
      </c>
      <c r="L8" s="21">
        <f>'TX Calculations'!L418*1000000000000</f>
        <v>175701075307849.16</v>
      </c>
      <c r="M8" s="21">
        <f>'TX Calculations'!M418*1000000000000</f>
        <v>177615917827779.25</v>
      </c>
      <c r="N8" s="21">
        <f>'TX Calculations'!N418*1000000000000</f>
        <v>179530760347709.34</v>
      </c>
      <c r="O8" s="21">
        <f>'TX Calculations'!O418*1000000000000</f>
        <v>181445602867639.41</v>
      </c>
      <c r="P8" s="21">
        <f>'TX Calculations'!P418*1000000000000</f>
        <v>183360445387569.5</v>
      </c>
      <c r="Q8" s="21">
        <f>'TX Calculations'!Q418*1000000000000</f>
        <v>185275287907499.53</v>
      </c>
      <c r="R8" s="21">
        <f>'TX Calculations'!R418*1000000000000</f>
        <v>187190130427429.63</v>
      </c>
      <c r="S8" s="21">
        <f>'TX Calculations'!S418*1000000000000</f>
        <v>189104972947359.72</v>
      </c>
      <c r="T8" s="21">
        <f>'TX Calculations'!T418*1000000000000</f>
        <v>191019815467289.78</v>
      </c>
      <c r="U8" s="21">
        <f>'TX Calculations'!U418*1000000000000</f>
        <v>192934657987219.88</v>
      </c>
      <c r="V8" s="21">
        <f>'TX Calculations'!V418*1000000000000</f>
        <v>194849500507149.97</v>
      </c>
      <c r="W8" s="21">
        <f>'TX Calculations'!W418*1000000000000</f>
        <v>196764343027080.03</v>
      </c>
      <c r="X8" s="21">
        <f>'TX Calculations'!X418*1000000000000</f>
        <v>198679185547010.13</v>
      </c>
      <c r="Y8" s="21">
        <f>'TX Calculations'!Y418*1000000000000</f>
        <v>200594028066940.19</v>
      </c>
      <c r="Z8" s="21">
        <f>'TX Calculations'!Z418*1000000000000</f>
        <v>202508870586870.28</v>
      </c>
      <c r="AA8" s="21">
        <f>'TX Calculations'!AA418*1000000000000</f>
        <v>204423713106800.38</v>
      </c>
      <c r="AB8" s="21">
        <f>'TX Calculations'!AB418*1000000000000</f>
        <v>206338555626730.44</v>
      </c>
      <c r="AC8" s="21">
        <f>'TX Calculations'!AC418*1000000000000</f>
        <v>208253398146660.5</v>
      </c>
      <c r="AD8" s="21">
        <f>'TX Calculations'!AD418*1000000000000</f>
        <v>210168240666590.59</v>
      </c>
      <c r="AE8" s="21">
        <f>'TX Calculations'!AE418*1000000000000</f>
        <v>212083083186520.66</v>
      </c>
      <c r="AF8" s="21">
        <f>'TX Calculations'!AF418*1000000000000</f>
        <v>213997925706450.75</v>
      </c>
      <c r="AG8" s="21">
        <f>'TX Calculations'!AG418*1000000000000</f>
        <v>215912768226380.81</v>
      </c>
      <c r="AH8" s="21">
        <f>'TX Calculations'!AH418*1000000000000</f>
        <v>217827610746310.91</v>
      </c>
      <c r="AI8" s="21">
        <f>'TX Calculations'!AI418*1000000000000</f>
        <v>219742453266241.09</v>
      </c>
    </row>
    <row r="9" spans="1:35">
      <c r="A9" s="5" t="s">
        <v>573</v>
      </c>
      <c r="B9" s="21">
        <f>'TX Calculations'!B431*1000000000000</f>
        <v>477395966659263.5</v>
      </c>
      <c r="C9" s="21">
        <f>'TX Calculations'!C431*1000000000000</f>
        <v>483235140222716.06</v>
      </c>
      <c r="D9" s="21">
        <f>'TX Calculations'!D431*1000000000000</f>
        <v>489074313786168.63</v>
      </c>
      <c r="E9" s="21">
        <f>'TX Calculations'!E431*1000000000000</f>
        <v>495576901691296.19</v>
      </c>
      <c r="F9" s="21">
        <f>'TX Calculations'!F431*1000000000000</f>
        <v>502464304131135.13</v>
      </c>
      <c r="G9" s="21">
        <f>'TX Calculations'!G431*1000000000000</f>
        <v>509089595329098.88</v>
      </c>
      <c r="H9" s="21">
        <f>'TX Calculations'!H431*1000000000000</f>
        <v>515651894787126.38</v>
      </c>
      <c r="I9" s="21">
        <f>'TX Calculations'!I431*1000000000000</f>
        <v>522300572503774.31</v>
      </c>
      <c r="J9" s="21">
        <f>'TX Calculations'!J431*1000000000000</f>
        <v>529022811451919.31</v>
      </c>
      <c r="K9" s="21">
        <f>'TX Calculations'!K431*1000000000000</f>
        <v>535779613852353.56</v>
      </c>
      <c r="L9" s="21">
        <f>'TX Calculations'!L431*1000000000000</f>
        <v>542539423090904.38</v>
      </c>
      <c r="M9" s="21">
        <f>'TX Calculations'!M431*1000000000000</f>
        <v>549299809399396.5</v>
      </c>
      <c r="N9" s="21">
        <f>'TX Calculations'!N431*1000000000000</f>
        <v>556063809988049.13</v>
      </c>
      <c r="O9" s="21">
        <f>'TX Calculations'!O431*1000000000000</f>
        <v>562827749832497.13</v>
      </c>
      <c r="P9" s="21">
        <f>'TX Calculations'!P431*1000000000000</f>
        <v>569592509723704.38</v>
      </c>
      <c r="Q9" s="21">
        <f>'TX Calculations'!Q431*1000000000000</f>
        <v>576357233168389</v>
      </c>
      <c r="R9" s="21">
        <f>'TX Calculations'!R431*1000000000000</f>
        <v>583122518496964</v>
      </c>
      <c r="S9" s="21">
        <f>'TX Calculations'!S431*1000000000000</f>
        <v>589888028579095.13</v>
      </c>
      <c r="T9" s="21">
        <f>'TX Calculations'!T431*1000000000000</f>
        <v>596653707864207.75</v>
      </c>
      <c r="U9" s="21">
        <f>'TX Calculations'!U431*1000000000000</f>
        <v>602636535797815</v>
      </c>
      <c r="V9" s="21">
        <f>'TX Calculations'!V431*1000000000000</f>
        <v>608617755862704.63</v>
      </c>
      <c r="W9" s="21">
        <f>'TX Calculations'!W431*1000000000000</f>
        <v>614598974773454.38</v>
      </c>
      <c r="X9" s="21">
        <f>'TX Calculations'!X431*1000000000000</f>
        <v>620580193653832.13</v>
      </c>
      <c r="Y9" s="21">
        <f>'TX Calculations'!Y431*1000000000000</f>
        <v>626561412564581.88</v>
      </c>
      <c r="Z9" s="21">
        <f>'TX Calculations'!Z431*1000000000000</f>
        <v>632542631475331.75</v>
      </c>
      <c r="AA9" s="21">
        <f>'TX Calculations'!AA431*1000000000000</f>
        <v>638523850355709.38</v>
      </c>
      <c r="AB9" s="21">
        <f>'TX Calculations'!AB431*1000000000000</f>
        <v>644505069266459</v>
      </c>
      <c r="AC9" s="21">
        <f>'TX Calculations'!AC431*1000000000000</f>
        <v>650486288146836.88</v>
      </c>
      <c r="AD9" s="21">
        <f>'TX Calculations'!AD431*1000000000000</f>
        <v>656467507057586.5</v>
      </c>
      <c r="AE9" s="21">
        <f>'TX Calculations'!AE431*1000000000000</f>
        <v>662448725968336.5</v>
      </c>
      <c r="AF9" s="21">
        <f>'TX Calculations'!AF431*1000000000000</f>
        <v>668429944879086.13</v>
      </c>
      <c r="AG9" s="21">
        <f>'TX Calculations'!AG431*1000000000000</f>
        <v>674411163759463.75</v>
      </c>
      <c r="AH9" s="21">
        <f>'TX Calculations'!AH431*1000000000000</f>
        <v>680392382670213.63</v>
      </c>
      <c r="AI9" s="21">
        <f>'TX Calculations'!AI431*1000000000000</f>
        <v>686373601580963.63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7"/>
  <sheetViews>
    <sheetView topLeftCell="A10" workbookViewId="0">
      <selection activeCell="A27" sqref="A27"/>
    </sheetView>
  </sheetViews>
  <sheetFormatPr defaultColWidth="10.796875" defaultRowHeight="15.75"/>
  <cols>
    <col min="1" max="16384" width="10.796875" style="423"/>
  </cols>
  <sheetData>
    <row r="2" spans="1:1">
      <c r="A2" s="296" t="s">
        <v>1285</v>
      </c>
    </row>
    <row r="4" spans="1:1">
      <c r="A4" s="464" t="s">
        <v>1312</v>
      </c>
    </row>
    <row r="6" spans="1:1">
      <c r="A6" s="464" t="s">
        <v>1313</v>
      </c>
    </row>
    <row r="7" spans="1:1">
      <c r="A7" s="464" t="s">
        <v>1314</v>
      </c>
    </row>
    <row r="8" spans="1:1">
      <c r="A8" s="464" t="s">
        <v>1315</v>
      </c>
    </row>
    <row r="11" spans="1:1">
      <c r="A11" s="465" t="s">
        <v>1319</v>
      </c>
    </row>
    <row r="12" spans="1:1">
      <c r="A12" s="464" t="s">
        <v>1316</v>
      </c>
    </row>
    <row r="14" spans="1:1">
      <c r="A14" s="465" t="s">
        <v>1320</v>
      </c>
    </row>
    <row r="15" spans="1:1">
      <c r="A15" s="464" t="s">
        <v>1317</v>
      </c>
    </row>
    <row r="17" spans="1:1">
      <c r="A17" s="465" t="s">
        <v>1321</v>
      </c>
    </row>
    <row r="20" spans="1:1">
      <c r="A20" s="464" t="s">
        <v>1318</v>
      </c>
    </row>
    <row r="21" spans="1:1">
      <c r="A21" s="464" t="s">
        <v>1322</v>
      </c>
    </row>
    <row r="22" spans="1:1">
      <c r="A22" s="464" t="s">
        <v>1323</v>
      </c>
    </row>
    <row r="24" spans="1:1">
      <c r="A24" s="464" t="s">
        <v>1329</v>
      </c>
    </row>
    <row r="26" spans="1:1">
      <c r="A26" s="470" t="s">
        <v>1347</v>
      </c>
    </row>
    <row r="28" spans="1:1">
      <c r="A28" s="465" t="s">
        <v>1324</v>
      </c>
    </row>
    <row r="29" spans="1:1">
      <c r="A29" s="465" t="s">
        <v>1325</v>
      </c>
    </row>
    <row r="31" spans="1:1">
      <c r="A31" s="465" t="s">
        <v>1326</v>
      </c>
    </row>
    <row r="33" spans="1:1">
      <c r="A33" s="465" t="s">
        <v>1327</v>
      </c>
    </row>
    <row r="35" spans="1:1">
      <c r="A35" s="465" t="s">
        <v>1328</v>
      </c>
    </row>
    <row r="37" spans="1:1">
      <c r="A37" s="465" t="s">
        <v>1330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3" sqref="K3"/>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f>B2</f>
        <v>0</v>
      </c>
      <c r="D2" s="5">
        <f t="shared" ref="D2:AI2" si="0">C2</f>
        <v>0</v>
      </c>
      <c r="E2" s="5">
        <f t="shared" si="0"/>
        <v>0</v>
      </c>
      <c r="F2" s="5">
        <f t="shared" si="0"/>
        <v>0</v>
      </c>
      <c r="G2" s="5">
        <f t="shared" si="0"/>
        <v>0</v>
      </c>
      <c r="H2" s="5">
        <f t="shared" si="0"/>
        <v>0</v>
      </c>
      <c r="I2" s="5">
        <f t="shared" si="0"/>
        <v>0</v>
      </c>
      <c r="J2" s="5">
        <f t="shared" si="0"/>
        <v>0</v>
      </c>
      <c r="K2" s="5">
        <f t="shared" si="0"/>
        <v>0</v>
      </c>
      <c r="L2" s="5">
        <f t="shared" si="0"/>
        <v>0</v>
      </c>
      <c r="M2" s="5">
        <f t="shared" si="0"/>
        <v>0</v>
      </c>
      <c r="N2" s="5">
        <f t="shared" si="0"/>
        <v>0</v>
      </c>
      <c r="O2" s="5">
        <f t="shared" si="0"/>
        <v>0</v>
      </c>
      <c r="P2" s="5">
        <f t="shared" si="0"/>
        <v>0</v>
      </c>
      <c r="Q2" s="5">
        <f t="shared" si="0"/>
        <v>0</v>
      </c>
      <c r="R2" s="5">
        <f t="shared" si="0"/>
        <v>0</v>
      </c>
      <c r="S2" s="5">
        <f t="shared" si="0"/>
        <v>0</v>
      </c>
      <c r="T2" s="5">
        <f t="shared" si="0"/>
        <v>0</v>
      </c>
      <c r="U2" s="5">
        <f t="shared" si="0"/>
        <v>0</v>
      </c>
      <c r="V2" s="5">
        <f t="shared" si="0"/>
        <v>0</v>
      </c>
      <c r="W2" s="5">
        <f t="shared" si="0"/>
        <v>0</v>
      </c>
      <c r="X2" s="5">
        <f t="shared" si="0"/>
        <v>0</v>
      </c>
      <c r="Y2" s="5">
        <f t="shared" si="0"/>
        <v>0</v>
      </c>
      <c r="Z2" s="5">
        <f t="shared" si="0"/>
        <v>0</v>
      </c>
      <c r="AA2" s="5">
        <f t="shared" si="0"/>
        <v>0</v>
      </c>
      <c r="AB2" s="5">
        <f t="shared" si="0"/>
        <v>0</v>
      </c>
      <c r="AC2" s="5">
        <f t="shared" si="0"/>
        <v>0</v>
      </c>
      <c r="AD2" s="5">
        <f t="shared" si="0"/>
        <v>0</v>
      </c>
      <c r="AE2" s="5">
        <f t="shared" si="0"/>
        <v>0</v>
      </c>
      <c r="AF2" s="5">
        <f t="shared" si="0"/>
        <v>0</v>
      </c>
      <c r="AG2" s="5">
        <f t="shared" si="0"/>
        <v>0</v>
      </c>
      <c r="AH2" s="5">
        <f t="shared" si="0"/>
        <v>0</v>
      </c>
      <c r="AI2" s="5">
        <f t="shared" si="0"/>
        <v>0</v>
      </c>
    </row>
    <row r="3" spans="1:35">
      <c r="A3" s="5" t="s">
        <v>567</v>
      </c>
      <c r="B3" s="5">
        <f>'TX Calculations'!B355*1000000000000</f>
        <v>1.05420858E+16</v>
      </c>
      <c r="C3" s="5">
        <f>'TX Calculations'!C355*1000000000000</f>
        <v>1.0548820578424292E+16</v>
      </c>
      <c r="D3" s="5">
        <f>'TX Calculations'!D355*1000000000000</f>
        <v>1.0555555356848584E+16</v>
      </c>
      <c r="E3" s="5">
        <f>'TX Calculations'!E355*1000000000000</f>
        <v>1.0562290135272876E+16</v>
      </c>
      <c r="F3" s="5">
        <f>'TX Calculations'!F355*1000000000000</f>
        <v>1.0569024913697168E+16</v>
      </c>
      <c r="G3" s="5">
        <f>'TX Calculations'!G355*1000000000000</f>
        <v>1.057575969212146E+16</v>
      </c>
      <c r="H3" s="5">
        <f>'TX Calculations'!H355*1000000000000</f>
        <v>1.0582494470545752E+16</v>
      </c>
      <c r="I3" s="5">
        <f>'TX Calculations'!I355*1000000000000</f>
        <v>1.0589229248970044E+16</v>
      </c>
      <c r="J3" s="5">
        <f>'TX Calculations'!J355*1000000000000</f>
        <v>1.0595964027394336E+16</v>
      </c>
      <c r="K3" s="5">
        <f>'TX Calculations'!K355*1000000000000</f>
        <v>1.0602698805818628E+16</v>
      </c>
      <c r="L3" s="5">
        <f>'TX Calculations'!L355*1000000000000</f>
        <v>1.060943358424292E+16</v>
      </c>
      <c r="M3" s="5">
        <f>'TX Calculations'!M355*1000000000000</f>
        <v>1.0616168362667212E+16</v>
      </c>
      <c r="N3" s="5">
        <f>'TX Calculations'!N355*1000000000000</f>
        <v>1.0622903141091504E+16</v>
      </c>
      <c r="O3" s="5">
        <f>'TX Calculations'!O355*1000000000000</f>
        <v>1.0629637919515796E+16</v>
      </c>
      <c r="P3" s="5">
        <f>'TX Calculations'!P355*1000000000000</f>
        <v>1.0636372697940088E+16</v>
      </c>
      <c r="Q3" s="5">
        <f>'TX Calculations'!Q355*1000000000000</f>
        <v>1.0643107476364382E+16</v>
      </c>
      <c r="R3" s="5">
        <f>'TX Calculations'!R355*1000000000000</f>
        <v>1.0649842254788674E+16</v>
      </c>
      <c r="S3" s="5">
        <f>'TX Calculations'!S355*1000000000000</f>
        <v>1.0656577033212966E+16</v>
      </c>
      <c r="T3" s="5">
        <f>'TX Calculations'!T355*1000000000000</f>
        <v>1.0663311811637258E+16</v>
      </c>
      <c r="U3" s="5">
        <f>'TX Calculations'!U355*1000000000000</f>
        <v>1.067004659006155E+16</v>
      </c>
      <c r="V3" s="5">
        <f>'TX Calculations'!V355*1000000000000</f>
        <v>1.0676781368485842E+16</v>
      </c>
      <c r="W3" s="5">
        <f>'TX Calculations'!W355*1000000000000</f>
        <v>1.0683516146910134E+16</v>
      </c>
      <c r="X3" s="5">
        <f>'TX Calculations'!X355*1000000000000</f>
        <v>1.0690250925334426E+16</v>
      </c>
      <c r="Y3" s="5">
        <f>'TX Calculations'!Y355*1000000000000</f>
        <v>1.0696985703758718E+16</v>
      </c>
      <c r="Z3" s="5">
        <f>'TX Calculations'!Z355*1000000000000</f>
        <v>1.070372048218301E+16</v>
      </c>
      <c r="AA3" s="5">
        <f>'TX Calculations'!AA355*1000000000000</f>
        <v>1.0710455260607302E+16</v>
      </c>
      <c r="AB3" s="5">
        <f>'TX Calculations'!AB355*1000000000000</f>
        <v>1.0717190039031594E+16</v>
      </c>
      <c r="AC3" s="5">
        <f>'TX Calculations'!AC355*1000000000000</f>
        <v>1.0723924817455886E+16</v>
      </c>
      <c r="AD3" s="5">
        <f>'TX Calculations'!AD355*1000000000000</f>
        <v>1.0730659595880178E+16</v>
      </c>
      <c r="AE3" s="5">
        <f>'TX Calculations'!AE355*1000000000000</f>
        <v>1.073739437430447E+16</v>
      </c>
      <c r="AF3" s="5">
        <f>'TX Calculations'!AF355*1000000000000</f>
        <v>1.0744129152728762E+16</v>
      </c>
      <c r="AG3" s="5">
        <f>'TX Calculations'!AG355*1000000000000</f>
        <v>1.0750863931153054E+16</v>
      </c>
      <c r="AH3" s="5">
        <f>'TX Calculations'!AH355*1000000000000</f>
        <v>1.0757598709577346E+16</v>
      </c>
      <c r="AI3" s="5">
        <f>'TX Calculations'!AI355*1000000000000</f>
        <v>1.0764333488001666E+16</v>
      </c>
    </row>
    <row r="4" spans="1:35">
      <c r="A4" s="5" t="s">
        <v>568</v>
      </c>
      <c r="B4" s="5">
        <v>0</v>
      </c>
      <c r="C4" s="5">
        <f t="shared" ref="C4:C9" si="1">B4</f>
        <v>0</v>
      </c>
      <c r="D4" s="5">
        <f t="shared" ref="D4:AI4" si="2">C4</f>
        <v>0</v>
      </c>
      <c r="E4" s="5">
        <f t="shared" si="2"/>
        <v>0</v>
      </c>
      <c r="F4" s="5">
        <f t="shared" si="2"/>
        <v>0</v>
      </c>
      <c r="G4" s="5">
        <f t="shared" si="2"/>
        <v>0</v>
      </c>
      <c r="H4" s="5">
        <f t="shared" si="2"/>
        <v>0</v>
      </c>
      <c r="I4" s="5">
        <f t="shared" si="2"/>
        <v>0</v>
      </c>
      <c r="J4" s="5">
        <f t="shared" si="2"/>
        <v>0</v>
      </c>
      <c r="K4" s="5">
        <f t="shared" si="2"/>
        <v>0</v>
      </c>
      <c r="L4" s="5">
        <f t="shared" si="2"/>
        <v>0</v>
      </c>
      <c r="M4" s="5">
        <f t="shared" si="2"/>
        <v>0</v>
      </c>
      <c r="N4" s="5">
        <f t="shared" si="2"/>
        <v>0</v>
      </c>
      <c r="O4" s="5">
        <f t="shared" si="2"/>
        <v>0</v>
      </c>
      <c r="P4" s="5">
        <f t="shared" si="2"/>
        <v>0</v>
      </c>
      <c r="Q4" s="5">
        <f t="shared" si="2"/>
        <v>0</v>
      </c>
      <c r="R4" s="5">
        <f t="shared" si="2"/>
        <v>0</v>
      </c>
      <c r="S4" s="5">
        <f t="shared" si="2"/>
        <v>0</v>
      </c>
      <c r="T4" s="5">
        <f t="shared" si="2"/>
        <v>0</v>
      </c>
      <c r="U4" s="5">
        <f t="shared" si="2"/>
        <v>0</v>
      </c>
      <c r="V4" s="5">
        <f t="shared" si="2"/>
        <v>0</v>
      </c>
      <c r="W4" s="5">
        <f t="shared" si="2"/>
        <v>0</v>
      </c>
      <c r="X4" s="5">
        <f t="shared" si="2"/>
        <v>0</v>
      </c>
      <c r="Y4" s="5">
        <f t="shared" si="2"/>
        <v>0</v>
      </c>
      <c r="Z4" s="5">
        <f t="shared" si="2"/>
        <v>0</v>
      </c>
      <c r="AA4" s="5">
        <f t="shared" si="2"/>
        <v>0</v>
      </c>
      <c r="AB4" s="5">
        <f t="shared" si="2"/>
        <v>0</v>
      </c>
      <c r="AC4" s="5">
        <f t="shared" si="2"/>
        <v>0</v>
      </c>
      <c r="AD4" s="5">
        <f t="shared" si="2"/>
        <v>0</v>
      </c>
      <c r="AE4" s="5">
        <f t="shared" si="2"/>
        <v>0</v>
      </c>
      <c r="AF4" s="5">
        <f t="shared" si="2"/>
        <v>0</v>
      </c>
      <c r="AG4" s="5">
        <f t="shared" si="2"/>
        <v>0</v>
      </c>
      <c r="AH4" s="5">
        <f t="shared" si="2"/>
        <v>0</v>
      </c>
      <c r="AI4" s="5">
        <f t="shared" si="2"/>
        <v>0</v>
      </c>
    </row>
    <row r="5" spans="1:35">
      <c r="A5" s="5" t="s">
        <v>569</v>
      </c>
      <c r="B5" s="5">
        <v>0</v>
      </c>
      <c r="C5" s="5">
        <f t="shared" si="1"/>
        <v>0</v>
      </c>
      <c r="D5" s="5">
        <f t="shared" ref="D5:AI5" si="3">C5</f>
        <v>0</v>
      </c>
      <c r="E5" s="5">
        <f t="shared" si="3"/>
        <v>0</v>
      </c>
      <c r="F5" s="5">
        <f t="shared" si="3"/>
        <v>0</v>
      </c>
      <c r="G5" s="5">
        <f t="shared" si="3"/>
        <v>0</v>
      </c>
      <c r="H5" s="5">
        <f t="shared" si="3"/>
        <v>0</v>
      </c>
      <c r="I5" s="5">
        <f t="shared" si="3"/>
        <v>0</v>
      </c>
      <c r="J5" s="5">
        <f t="shared" si="3"/>
        <v>0</v>
      </c>
      <c r="K5" s="5">
        <f t="shared" si="3"/>
        <v>0</v>
      </c>
      <c r="L5" s="5">
        <f t="shared" si="3"/>
        <v>0</v>
      </c>
      <c r="M5" s="5">
        <f t="shared" si="3"/>
        <v>0</v>
      </c>
      <c r="N5" s="5">
        <f t="shared" si="3"/>
        <v>0</v>
      </c>
      <c r="O5" s="5">
        <f t="shared" si="3"/>
        <v>0</v>
      </c>
      <c r="P5" s="5">
        <f t="shared" si="3"/>
        <v>0</v>
      </c>
      <c r="Q5" s="5">
        <f t="shared" si="3"/>
        <v>0</v>
      </c>
      <c r="R5" s="5">
        <f t="shared" si="3"/>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row>
    <row r="6" spans="1:35">
      <c r="A6" s="5" t="s">
        <v>570</v>
      </c>
      <c r="B6" s="5">
        <v>0</v>
      </c>
      <c r="C6" s="5">
        <f t="shared" si="1"/>
        <v>0</v>
      </c>
      <c r="D6" s="5">
        <f t="shared" ref="D6:AI6" si="4">C6</f>
        <v>0</v>
      </c>
      <c r="E6" s="5">
        <f t="shared" si="4"/>
        <v>0</v>
      </c>
      <c r="F6" s="5">
        <f t="shared" si="4"/>
        <v>0</v>
      </c>
      <c r="G6" s="5">
        <f t="shared" si="4"/>
        <v>0</v>
      </c>
      <c r="H6" s="5">
        <f t="shared" si="4"/>
        <v>0</v>
      </c>
      <c r="I6" s="5">
        <f t="shared" si="4"/>
        <v>0</v>
      </c>
      <c r="J6" s="5">
        <f t="shared" si="4"/>
        <v>0</v>
      </c>
      <c r="K6" s="5">
        <f t="shared" si="4"/>
        <v>0</v>
      </c>
      <c r="L6" s="5">
        <f t="shared" si="4"/>
        <v>0</v>
      </c>
      <c r="M6" s="5">
        <f t="shared" si="4"/>
        <v>0</v>
      </c>
      <c r="N6" s="5">
        <f t="shared" si="4"/>
        <v>0</v>
      </c>
      <c r="O6" s="5">
        <f t="shared" si="4"/>
        <v>0</v>
      </c>
      <c r="P6" s="5">
        <f t="shared" si="4"/>
        <v>0</v>
      </c>
      <c r="Q6" s="5">
        <f t="shared" si="4"/>
        <v>0</v>
      </c>
      <c r="R6" s="5">
        <f t="shared" si="4"/>
        <v>0</v>
      </c>
      <c r="S6" s="5">
        <f t="shared" si="4"/>
        <v>0</v>
      </c>
      <c r="T6" s="5">
        <f t="shared" si="4"/>
        <v>0</v>
      </c>
      <c r="U6" s="5">
        <f t="shared" si="4"/>
        <v>0</v>
      </c>
      <c r="V6" s="5">
        <f t="shared" si="4"/>
        <v>0</v>
      </c>
      <c r="W6" s="5">
        <f t="shared" si="4"/>
        <v>0</v>
      </c>
      <c r="X6" s="5">
        <f t="shared" si="4"/>
        <v>0</v>
      </c>
      <c r="Y6" s="5">
        <f t="shared" si="4"/>
        <v>0</v>
      </c>
      <c r="Z6" s="5">
        <f t="shared" si="4"/>
        <v>0</v>
      </c>
      <c r="AA6" s="5">
        <f t="shared" si="4"/>
        <v>0</v>
      </c>
      <c r="AB6" s="5">
        <f t="shared" si="4"/>
        <v>0</v>
      </c>
      <c r="AC6" s="5">
        <f t="shared" si="4"/>
        <v>0</v>
      </c>
      <c r="AD6" s="5">
        <f t="shared" si="4"/>
        <v>0</v>
      </c>
      <c r="AE6" s="5">
        <f t="shared" si="4"/>
        <v>0</v>
      </c>
      <c r="AF6" s="5">
        <f t="shared" si="4"/>
        <v>0</v>
      </c>
      <c r="AG6" s="5">
        <f t="shared" si="4"/>
        <v>0</v>
      </c>
      <c r="AH6" s="5">
        <f t="shared" si="4"/>
        <v>0</v>
      </c>
      <c r="AI6" s="5">
        <f t="shared" si="4"/>
        <v>0</v>
      </c>
    </row>
    <row r="7" spans="1:35">
      <c r="A7" s="5" t="s">
        <v>571</v>
      </c>
      <c r="B7" s="5">
        <v>0</v>
      </c>
      <c r="C7" s="5">
        <f t="shared" si="1"/>
        <v>0</v>
      </c>
      <c r="D7" s="5">
        <f t="shared" ref="D7:AI7" si="5">C7</f>
        <v>0</v>
      </c>
      <c r="E7" s="5">
        <f t="shared" si="5"/>
        <v>0</v>
      </c>
      <c r="F7" s="5">
        <f t="shared" si="5"/>
        <v>0</v>
      </c>
      <c r="G7" s="5">
        <f t="shared" si="5"/>
        <v>0</v>
      </c>
      <c r="H7" s="5">
        <f t="shared" si="5"/>
        <v>0</v>
      </c>
      <c r="I7" s="5">
        <f t="shared" si="5"/>
        <v>0</v>
      </c>
      <c r="J7" s="5">
        <f t="shared" si="5"/>
        <v>0</v>
      </c>
      <c r="K7" s="5">
        <f t="shared" si="5"/>
        <v>0</v>
      </c>
      <c r="L7" s="5">
        <f t="shared" si="5"/>
        <v>0</v>
      </c>
      <c r="M7" s="5">
        <f t="shared" si="5"/>
        <v>0</v>
      </c>
      <c r="N7" s="5">
        <f t="shared" si="5"/>
        <v>0</v>
      </c>
      <c r="O7" s="5">
        <f t="shared" si="5"/>
        <v>0</v>
      </c>
      <c r="P7" s="5">
        <f t="shared" si="5"/>
        <v>0</v>
      </c>
      <c r="Q7" s="5">
        <f t="shared" si="5"/>
        <v>0</v>
      </c>
      <c r="R7" s="5">
        <f t="shared" si="5"/>
        <v>0</v>
      </c>
      <c r="S7" s="5">
        <f t="shared" si="5"/>
        <v>0</v>
      </c>
      <c r="T7" s="5">
        <f t="shared" si="5"/>
        <v>0</v>
      </c>
      <c r="U7" s="5">
        <f t="shared" si="5"/>
        <v>0</v>
      </c>
      <c r="V7" s="5">
        <f t="shared" si="5"/>
        <v>0</v>
      </c>
      <c r="W7" s="5">
        <f t="shared" si="5"/>
        <v>0</v>
      </c>
      <c r="X7" s="5">
        <f t="shared" si="5"/>
        <v>0</v>
      </c>
      <c r="Y7" s="5">
        <f t="shared" si="5"/>
        <v>0</v>
      </c>
      <c r="Z7" s="5">
        <f t="shared" si="5"/>
        <v>0</v>
      </c>
      <c r="AA7" s="5">
        <f t="shared" si="5"/>
        <v>0</v>
      </c>
      <c r="AB7" s="5">
        <f t="shared" si="5"/>
        <v>0</v>
      </c>
      <c r="AC7" s="5">
        <f t="shared" si="5"/>
        <v>0</v>
      </c>
      <c r="AD7" s="5">
        <f t="shared" si="5"/>
        <v>0</v>
      </c>
      <c r="AE7" s="5">
        <f t="shared" si="5"/>
        <v>0</v>
      </c>
      <c r="AF7" s="5">
        <f t="shared" si="5"/>
        <v>0</v>
      </c>
      <c r="AG7" s="5">
        <f t="shared" si="5"/>
        <v>0</v>
      </c>
      <c r="AH7" s="5">
        <f t="shared" si="5"/>
        <v>0</v>
      </c>
      <c r="AI7" s="5">
        <f t="shared" si="5"/>
        <v>0</v>
      </c>
    </row>
    <row r="8" spans="1:35">
      <c r="A8" s="5" t="s">
        <v>572</v>
      </c>
      <c r="B8" s="5">
        <v>0</v>
      </c>
      <c r="C8" s="5">
        <f t="shared" si="1"/>
        <v>0</v>
      </c>
      <c r="D8" s="5">
        <f t="shared" ref="D8:AI8" si="6">C8</f>
        <v>0</v>
      </c>
      <c r="E8" s="5">
        <f t="shared" si="6"/>
        <v>0</v>
      </c>
      <c r="F8" s="5">
        <f t="shared" si="6"/>
        <v>0</v>
      </c>
      <c r="G8" s="5">
        <f t="shared" si="6"/>
        <v>0</v>
      </c>
      <c r="H8" s="5">
        <f t="shared" si="6"/>
        <v>0</v>
      </c>
      <c r="I8" s="5">
        <f t="shared" si="6"/>
        <v>0</v>
      </c>
      <c r="J8" s="5">
        <f t="shared" si="6"/>
        <v>0</v>
      </c>
      <c r="K8" s="5">
        <f t="shared" si="6"/>
        <v>0</v>
      </c>
      <c r="L8" s="5">
        <f t="shared" si="6"/>
        <v>0</v>
      </c>
      <c r="M8" s="5">
        <f t="shared" si="6"/>
        <v>0</v>
      </c>
      <c r="N8" s="5">
        <f t="shared" si="6"/>
        <v>0</v>
      </c>
      <c r="O8" s="5">
        <f t="shared" si="6"/>
        <v>0</v>
      </c>
      <c r="P8" s="5">
        <f t="shared" si="6"/>
        <v>0</v>
      </c>
      <c r="Q8" s="5">
        <f t="shared" si="6"/>
        <v>0</v>
      </c>
      <c r="R8" s="5">
        <f t="shared" si="6"/>
        <v>0</v>
      </c>
      <c r="S8" s="5">
        <f t="shared" si="6"/>
        <v>0</v>
      </c>
      <c r="T8" s="5">
        <f t="shared" si="6"/>
        <v>0</v>
      </c>
      <c r="U8" s="5">
        <f t="shared" si="6"/>
        <v>0</v>
      </c>
      <c r="V8" s="5">
        <f t="shared" si="6"/>
        <v>0</v>
      </c>
      <c r="W8" s="5">
        <f t="shared" si="6"/>
        <v>0</v>
      </c>
      <c r="X8" s="5">
        <f t="shared" si="6"/>
        <v>0</v>
      </c>
      <c r="Y8" s="5">
        <f t="shared" si="6"/>
        <v>0</v>
      </c>
      <c r="Z8" s="5">
        <f t="shared" si="6"/>
        <v>0</v>
      </c>
      <c r="AA8" s="5">
        <f t="shared" si="6"/>
        <v>0</v>
      </c>
      <c r="AB8" s="5">
        <f t="shared" si="6"/>
        <v>0</v>
      </c>
      <c r="AC8" s="5">
        <f t="shared" si="6"/>
        <v>0</v>
      </c>
      <c r="AD8" s="5">
        <f t="shared" si="6"/>
        <v>0</v>
      </c>
      <c r="AE8" s="5">
        <f t="shared" si="6"/>
        <v>0</v>
      </c>
      <c r="AF8" s="5">
        <f t="shared" si="6"/>
        <v>0</v>
      </c>
      <c r="AG8" s="5">
        <f t="shared" si="6"/>
        <v>0</v>
      </c>
      <c r="AH8" s="5">
        <f t="shared" si="6"/>
        <v>0</v>
      </c>
      <c r="AI8" s="5">
        <f t="shared" si="6"/>
        <v>0</v>
      </c>
    </row>
    <row r="9" spans="1:35">
      <c r="A9" s="5" t="s">
        <v>573</v>
      </c>
      <c r="B9" s="5">
        <v>0</v>
      </c>
      <c r="C9" s="5">
        <f t="shared" si="1"/>
        <v>0</v>
      </c>
      <c r="D9" s="5">
        <f t="shared" ref="D9:AI9" si="7">C9</f>
        <v>0</v>
      </c>
      <c r="E9" s="5">
        <f t="shared" si="7"/>
        <v>0</v>
      </c>
      <c r="F9" s="5">
        <f t="shared" si="7"/>
        <v>0</v>
      </c>
      <c r="G9" s="5">
        <f t="shared" si="7"/>
        <v>0</v>
      </c>
      <c r="H9" s="5">
        <f t="shared" si="7"/>
        <v>0</v>
      </c>
      <c r="I9" s="5">
        <f t="shared" si="7"/>
        <v>0</v>
      </c>
      <c r="J9" s="5">
        <f t="shared" si="7"/>
        <v>0</v>
      </c>
      <c r="K9" s="5">
        <f t="shared" si="7"/>
        <v>0</v>
      </c>
      <c r="L9" s="5">
        <f t="shared" si="7"/>
        <v>0</v>
      </c>
      <c r="M9" s="5">
        <f t="shared" si="7"/>
        <v>0</v>
      </c>
      <c r="N9" s="5">
        <f t="shared" si="7"/>
        <v>0</v>
      </c>
      <c r="O9" s="5">
        <f t="shared" si="7"/>
        <v>0</v>
      </c>
      <c r="P9" s="5">
        <f t="shared" si="7"/>
        <v>0</v>
      </c>
      <c r="Q9" s="5">
        <f t="shared" si="7"/>
        <v>0</v>
      </c>
      <c r="R9" s="5">
        <f t="shared" si="7"/>
        <v>0</v>
      </c>
      <c r="S9" s="5">
        <f t="shared" si="7"/>
        <v>0</v>
      </c>
      <c r="T9" s="5">
        <f t="shared" si="7"/>
        <v>0</v>
      </c>
      <c r="U9" s="5">
        <f t="shared" si="7"/>
        <v>0</v>
      </c>
      <c r="V9" s="5">
        <f t="shared" si="7"/>
        <v>0</v>
      </c>
      <c r="W9" s="5">
        <f t="shared" si="7"/>
        <v>0</v>
      </c>
      <c r="X9" s="5">
        <f t="shared" si="7"/>
        <v>0</v>
      </c>
      <c r="Y9" s="5">
        <f t="shared" si="7"/>
        <v>0</v>
      </c>
      <c r="Z9" s="5">
        <f t="shared" si="7"/>
        <v>0</v>
      </c>
      <c r="AA9" s="5">
        <f t="shared" si="7"/>
        <v>0</v>
      </c>
      <c r="AB9" s="5">
        <f t="shared" si="7"/>
        <v>0</v>
      </c>
      <c r="AC9" s="5">
        <f t="shared" si="7"/>
        <v>0</v>
      </c>
      <c r="AD9" s="5">
        <f t="shared" si="7"/>
        <v>0</v>
      </c>
      <c r="AE9" s="5">
        <f t="shared" si="7"/>
        <v>0</v>
      </c>
      <c r="AF9" s="5">
        <f t="shared" si="7"/>
        <v>0</v>
      </c>
      <c r="AG9" s="5">
        <f t="shared" si="7"/>
        <v>0</v>
      </c>
      <c r="AH9" s="5">
        <f t="shared" si="7"/>
        <v>0</v>
      </c>
      <c r="AI9" s="5">
        <f t="shared" si="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Calculations'!B343*1000000000000</f>
        <v>0</v>
      </c>
      <c r="C2" s="5">
        <f>'TX Calculations'!C343*1000000000000</f>
        <v>0</v>
      </c>
      <c r="D2" s="5">
        <f>'TX Calculations'!D343*1000000000000</f>
        <v>0</v>
      </c>
      <c r="E2" s="5">
        <f>'TX Calculations'!E343*1000000000000</f>
        <v>0</v>
      </c>
      <c r="F2" s="5">
        <f>'TX Calculations'!F343*1000000000000</f>
        <v>0</v>
      </c>
      <c r="G2" s="5">
        <f>'TX Calculations'!G343*1000000000000</f>
        <v>0</v>
      </c>
      <c r="H2" s="5">
        <f>'TX Calculations'!H343*1000000000000</f>
        <v>0</v>
      </c>
      <c r="I2" s="5">
        <f>'TX Calculations'!I343*1000000000000</f>
        <v>0</v>
      </c>
      <c r="J2" s="5">
        <f>'TX Calculations'!J343*1000000000000</f>
        <v>0</v>
      </c>
      <c r="K2" s="5">
        <f>'TX Calculations'!K343*1000000000000</f>
        <v>0</v>
      </c>
      <c r="L2" s="5">
        <f>'TX Calculations'!L343*1000000000000</f>
        <v>0</v>
      </c>
      <c r="M2" s="5">
        <f>'TX Calculations'!M343*1000000000000</f>
        <v>0</v>
      </c>
      <c r="N2" s="5">
        <f>'TX Calculations'!N343*1000000000000</f>
        <v>0</v>
      </c>
      <c r="O2" s="5">
        <f>'TX Calculations'!O343*1000000000000</f>
        <v>0</v>
      </c>
      <c r="P2" s="5">
        <f>'TX Calculations'!P343*1000000000000</f>
        <v>0</v>
      </c>
      <c r="Q2" s="5">
        <f>'TX Calculations'!Q343*1000000000000</f>
        <v>0</v>
      </c>
      <c r="R2" s="5">
        <f>'TX Calculations'!R343*1000000000000</f>
        <v>0</v>
      </c>
      <c r="S2" s="5">
        <f>'TX Calculations'!S343*1000000000000</f>
        <v>0</v>
      </c>
      <c r="T2" s="5">
        <f>'TX Calculations'!T343*1000000000000</f>
        <v>0</v>
      </c>
      <c r="U2" s="5">
        <f>'TX Calculations'!U343*1000000000000</f>
        <v>0</v>
      </c>
      <c r="V2" s="5">
        <f>'TX Calculations'!V343*1000000000000</f>
        <v>0</v>
      </c>
      <c r="W2" s="5">
        <f>'TX Calculations'!W343*1000000000000</f>
        <v>0</v>
      </c>
      <c r="X2" s="5">
        <f>'TX Calculations'!X343*1000000000000</f>
        <v>0</v>
      </c>
      <c r="Y2" s="5">
        <f>'TX Calculations'!Y343*1000000000000</f>
        <v>0</v>
      </c>
      <c r="Z2" s="5">
        <f>'TX Calculations'!Z343*1000000000000</f>
        <v>0</v>
      </c>
      <c r="AA2" s="5">
        <f>'TX Calculations'!AA343*1000000000000</f>
        <v>0</v>
      </c>
      <c r="AB2" s="5">
        <f>'TX Calculations'!AB343*1000000000000</f>
        <v>0</v>
      </c>
      <c r="AC2" s="5">
        <f>'TX Calculations'!AC343*1000000000000</f>
        <v>0</v>
      </c>
      <c r="AD2" s="5">
        <f>'TX Calculations'!AD343*1000000000000</f>
        <v>0</v>
      </c>
      <c r="AE2" s="5">
        <f>'TX Calculations'!AE343*1000000000000</f>
        <v>0</v>
      </c>
      <c r="AF2" s="5">
        <f>'TX Calculations'!AF343*1000000000000</f>
        <v>0</v>
      </c>
      <c r="AG2" s="5">
        <f>'TX Calculations'!AG343*1000000000000</f>
        <v>0</v>
      </c>
      <c r="AH2" s="5">
        <f>'TX Calculations'!AH343*1000000000000</f>
        <v>0</v>
      </c>
      <c r="AI2" s="5">
        <f>'TX Calculations'!AI343*1000000000000</f>
        <v>0</v>
      </c>
    </row>
    <row r="3" spans="1:35">
      <c r="A3" s="5" t="s">
        <v>567</v>
      </c>
      <c r="B3" s="5">
        <f>'TX Calculations'!B356*1000000000000</f>
        <v>1101003278457.408</v>
      </c>
      <c r="C3" s="5">
        <f>'TX Calculations'!C356*1000000000000</f>
        <v>1095981257404.1589</v>
      </c>
      <c r="D3" s="5">
        <f>'TX Calculations'!D356*1000000000000</f>
        <v>1090959236350.9099</v>
      </c>
      <c r="E3" s="5">
        <f>'TX Calculations'!E356*1000000000000</f>
        <v>1085937215297.6608</v>
      </c>
      <c r="F3" s="5">
        <f>'TX Calculations'!F356*1000000000000</f>
        <v>1080915194244.4117</v>
      </c>
      <c r="G3" s="5">
        <f>'TX Calculations'!G356*1000000000000</f>
        <v>1075893173191.1627</v>
      </c>
      <c r="H3" s="5">
        <f>'TX Calculations'!H356*1000000000000</f>
        <v>1070871152137.9135</v>
      </c>
      <c r="I3" s="5">
        <f>'TX Calculations'!I356*1000000000000</f>
        <v>1065849131084.6646</v>
      </c>
      <c r="J3" s="5">
        <f>'TX Calculations'!J356*1000000000000</f>
        <v>1060827110031.4155</v>
      </c>
      <c r="K3" s="5">
        <f>'TX Calculations'!K356*1000000000000</f>
        <v>1055805088978.1663</v>
      </c>
      <c r="L3" s="5">
        <f>'TX Calculations'!L356*1000000000000</f>
        <v>1050783067924.9172</v>
      </c>
      <c r="M3" s="5">
        <f>'TX Calculations'!M356*1000000000000</f>
        <v>1045761046871.6682</v>
      </c>
      <c r="N3" s="5">
        <f>'TX Calculations'!N356*1000000000000</f>
        <v>1040739025818.4191</v>
      </c>
      <c r="O3" s="5">
        <f>'TX Calculations'!O356*1000000000000</f>
        <v>1035717004765.17</v>
      </c>
      <c r="P3" s="5">
        <f>'TX Calculations'!P356*1000000000000</f>
        <v>1030694983711.921</v>
      </c>
      <c r="Q3" s="5">
        <f>'TX Calculations'!Q356*1000000000000</f>
        <v>1025672962658.6718</v>
      </c>
      <c r="R3" s="5">
        <f>'TX Calculations'!R356*1000000000000</f>
        <v>1020650941605.4229</v>
      </c>
      <c r="S3" s="5">
        <f>'TX Calculations'!S356*1000000000000</f>
        <v>1015628920552.1738</v>
      </c>
      <c r="T3" s="5">
        <f>'TX Calculations'!T356*1000000000000</f>
        <v>1010606899498.9246</v>
      </c>
      <c r="U3" s="5">
        <f>'TX Calculations'!U356*1000000000000</f>
        <v>1005584878445.6755</v>
      </c>
      <c r="V3" s="5">
        <f>'TX Calculations'!V356*1000000000000</f>
        <v>1000562857392.4265</v>
      </c>
      <c r="W3" s="5">
        <f>'TX Calculations'!W356*1000000000000</f>
        <v>995540836339.17749</v>
      </c>
      <c r="X3" s="5">
        <f>'TX Calculations'!X356*1000000000000</f>
        <v>990518815285.92834</v>
      </c>
      <c r="Y3" s="5">
        <f>'TX Calculations'!Y356*1000000000000</f>
        <v>985496794232.6792</v>
      </c>
      <c r="Z3" s="5">
        <f>'TX Calculations'!Z356*1000000000000</f>
        <v>980474773179.43018</v>
      </c>
      <c r="AA3" s="5">
        <f>'TX Calculations'!AA356*1000000000000</f>
        <v>975452752126.18115</v>
      </c>
      <c r="AB3" s="5">
        <f>'TX Calculations'!AB356*1000000000000</f>
        <v>970430731072.93201</v>
      </c>
      <c r="AC3" s="5">
        <f>'TX Calculations'!AC356*1000000000000</f>
        <v>965408710019.68298</v>
      </c>
      <c r="AD3" s="5">
        <f>'TX Calculations'!AD356*1000000000000</f>
        <v>960386688966.43384</v>
      </c>
      <c r="AE3" s="5">
        <f>'TX Calculations'!AE356*1000000000000</f>
        <v>955364667913.18469</v>
      </c>
      <c r="AF3" s="5">
        <f>'TX Calculations'!AF356*1000000000000</f>
        <v>950342646859.93579</v>
      </c>
      <c r="AG3" s="5">
        <f>'TX Calculations'!AG356*1000000000000</f>
        <v>945320625806.68665</v>
      </c>
      <c r="AH3" s="5">
        <f>'TX Calculations'!AH356*1000000000000</f>
        <v>940298604753.4375</v>
      </c>
      <c r="AI3" s="5">
        <f>'TX Calculations'!AI356*1000000000000</f>
        <v>935276583700.18994</v>
      </c>
    </row>
    <row r="4" spans="1:35">
      <c r="A4" s="5" t="s">
        <v>568</v>
      </c>
      <c r="B4" s="5">
        <f>'TX Calculations'!B369*1000000000000</f>
        <v>0</v>
      </c>
      <c r="C4" s="5">
        <f>'TX Calculations'!C369*1000000000000</f>
        <v>0</v>
      </c>
      <c r="D4" s="5">
        <f>'TX Calculations'!D369*1000000000000</f>
        <v>0</v>
      </c>
      <c r="E4" s="5">
        <f>'TX Calculations'!E369*1000000000000</f>
        <v>0</v>
      </c>
      <c r="F4" s="5">
        <f>'TX Calculations'!F369*1000000000000</f>
        <v>0</v>
      </c>
      <c r="G4" s="5">
        <f>'TX Calculations'!G369*1000000000000</f>
        <v>0</v>
      </c>
      <c r="H4" s="5">
        <f>'TX Calculations'!H369*1000000000000</f>
        <v>0</v>
      </c>
      <c r="I4" s="5">
        <f>'TX Calculations'!I369*1000000000000</f>
        <v>0</v>
      </c>
      <c r="J4" s="5">
        <f>'TX Calculations'!J369*1000000000000</f>
        <v>0</v>
      </c>
      <c r="K4" s="5">
        <f>'TX Calculations'!K369*1000000000000</f>
        <v>0</v>
      </c>
      <c r="L4" s="5">
        <f>'TX Calculations'!L369*1000000000000</f>
        <v>0</v>
      </c>
      <c r="M4" s="5">
        <f>'TX Calculations'!M369*1000000000000</f>
        <v>0</v>
      </c>
      <c r="N4" s="5">
        <f>'TX Calculations'!N369*1000000000000</f>
        <v>0</v>
      </c>
      <c r="O4" s="5">
        <f>'TX Calculations'!O369*1000000000000</f>
        <v>0</v>
      </c>
      <c r="P4" s="5">
        <f>'TX Calculations'!P369*1000000000000</f>
        <v>0</v>
      </c>
      <c r="Q4" s="5">
        <f>'TX Calculations'!Q369*1000000000000</f>
        <v>0</v>
      </c>
      <c r="R4" s="5">
        <f>'TX Calculations'!R369*1000000000000</f>
        <v>0</v>
      </c>
      <c r="S4" s="5">
        <f>'TX Calculations'!S369*1000000000000</f>
        <v>0</v>
      </c>
      <c r="T4" s="5">
        <f>'TX Calculations'!T369*1000000000000</f>
        <v>0</v>
      </c>
      <c r="U4" s="5">
        <f>'TX Calculations'!U369*1000000000000</f>
        <v>0</v>
      </c>
      <c r="V4" s="5">
        <f>'TX Calculations'!V369*1000000000000</f>
        <v>0</v>
      </c>
      <c r="W4" s="5">
        <f>'TX Calculations'!W369*1000000000000</f>
        <v>0</v>
      </c>
      <c r="X4" s="5">
        <f>'TX Calculations'!X369*1000000000000</f>
        <v>0</v>
      </c>
      <c r="Y4" s="5">
        <f>'TX Calculations'!Y369*1000000000000</f>
        <v>0</v>
      </c>
      <c r="Z4" s="5">
        <f>'TX Calculations'!Z369*1000000000000</f>
        <v>0</v>
      </c>
      <c r="AA4" s="5">
        <f>'TX Calculations'!AA369*1000000000000</f>
        <v>0</v>
      </c>
      <c r="AB4" s="5">
        <f>'TX Calculations'!AB369*1000000000000</f>
        <v>0</v>
      </c>
      <c r="AC4" s="5">
        <f>'TX Calculations'!AC369*1000000000000</f>
        <v>0</v>
      </c>
      <c r="AD4" s="5">
        <f>'TX Calculations'!AD369*1000000000000</f>
        <v>0</v>
      </c>
      <c r="AE4" s="5">
        <f>'TX Calculations'!AE369*1000000000000</f>
        <v>0</v>
      </c>
      <c r="AF4" s="5">
        <f>'TX Calculations'!AF369*1000000000000</f>
        <v>0</v>
      </c>
      <c r="AG4" s="5">
        <f>'TX Calculations'!AG369*1000000000000</f>
        <v>0</v>
      </c>
      <c r="AH4" s="5">
        <f>'TX Calculations'!AH369*1000000000000</f>
        <v>0</v>
      </c>
      <c r="AI4" s="5">
        <f>'TX Calculations'!AI369*1000000000000</f>
        <v>0</v>
      </c>
    </row>
    <row r="5" spans="1:35">
      <c r="A5" s="5" t="s">
        <v>569</v>
      </c>
      <c r="B5" s="5">
        <f>'TX Calculations'!B382*1000000000000</f>
        <v>6268545129472.9746</v>
      </c>
      <c r="C5" s="5">
        <f>'TX Calculations'!C382*1000000000000</f>
        <v>6239952330314.7725</v>
      </c>
      <c r="D5" s="5">
        <f>'TX Calculations'!D382*1000000000000</f>
        <v>6211359531156.5703</v>
      </c>
      <c r="E5" s="5">
        <f>'TX Calculations'!E382*1000000000000</f>
        <v>6182766731998.3672</v>
      </c>
      <c r="F5" s="5">
        <f>'TX Calculations'!F382*1000000000000</f>
        <v>6154173932840.1641</v>
      </c>
      <c r="G5" s="5">
        <f>'TX Calculations'!G382*1000000000000</f>
        <v>6125581133681.9619</v>
      </c>
      <c r="H5" s="5">
        <f>'TX Calculations'!H382*1000000000000</f>
        <v>6096988334523.7598</v>
      </c>
      <c r="I5" s="5">
        <f>'TX Calculations'!I382*1000000000000</f>
        <v>6068395535365.5566</v>
      </c>
      <c r="J5" s="5">
        <f>'TX Calculations'!J382*1000000000000</f>
        <v>6039802736207.3545</v>
      </c>
      <c r="K5" s="5">
        <f>'TX Calculations'!K382*1000000000000</f>
        <v>6011209937049.1523</v>
      </c>
      <c r="L5" s="5">
        <f>'TX Calculations'!L382*1000000000000</f>
        <v>5982617137890.9492</v>
      </c>
      <c r="M5" s="5">
        <f>'TX Calculations'!M382*1000000000000</f>
        <v>5954024338732.7461</v>
      </c>
      <c r="N5" s="5">
        <f>'TX Calculations'!N382*1000000000000</f>
        <v>5925431539574.5439</v>
      </c>
      <c r="O5" s="5">
        <f>'TX Calculations'!O382*1000000000000</f>
        <v>5896838740416.3418</v>
      </c>
      <c r="P5" s="5">
        <f>'TX Calculations'!P382*1000000000000</f>
        <v>5868245941258.1387</v>
      </c>
      <c r="Q5" s="5">
        <f>'TX Calculations'!Q382*1000000000000</f>
        <v>5839653142099.9365</v>
      </c>
      <c r="R5" s="5">
        <f>'TX Calculations'!R382*1000000000000</f>
        <v>5811060342941.7344</v>
      </c>
      <c r="S5" s="5">
        <f>'TX Calculations'!S382*1000000000000</f>
        <v>5782467543783.5313</v>
      </c>
      <c r="T5" s="5">
        <f>'TX Calculations'!T382*1000000000000</f>
        <v>5753874744625.3291</v>
      </c>
      <c r="U5" s="5">
        <f>'TX Calculations'!U382*1000000000000</f>
        <v>5725281945467.126</v>
      </c>
      <c r="V5" s="5">
        <f>'TX Calculations'!V382*1000000000000</f>
        <v>5696689146308.9229</v>
      </c>
      <c r="W5" s="5">
        <f>'TX Calculations'!W382*1000000000000</f>
        <v>5668096347150.7207</v>
      </c>
      <c r="X5" s="5">
        <f>'TX Calculations'!X382*1000000000000</f>
        <v>5639503547992.5186</v>
      </c>
      <c r="Y5" s="5">
        <f>'TX Calculations'!Y382*1000000000000</f>
        <v>5610910748834.3164</v>
      </c>
      <c r="Z5" s="5">
        <f>'TX Calculations'!Z382*1000000000000</f>
        <v>5582317949676.1133</v>
      </c>
      <c r="AA5" s="5">
        <f>'TX Calculations'!AA382*1000000000000</f>
        <v>5553725150517.9111</v>
      </c>
      <c r="AB5" s="5">
        <f>'TX Calculations'!AB382*1000000000000</f>
        <v>5525132351359.709</v>
      </c>
      <c r="AC5" s="5">
        <f>'TX Calculations'!AC382*1000000000000</f>
        <v>5496539552201.5049</v>
      </c>
      <c r="AD5" s="5">
        <f>'TX Calculations'!AD382*1000000000000</f>
        <v>5467946753043.3027</v>
      </c>
      <c r="AE5" s="5">
        <f>'TX Calculations'!AE382*1000000000000</f>
        <v>5439353953885.1006</v>
      </c>
      <c r="AF5" s="5">
        <f>'TX Calculations'!AF382*1000000000000</f>
        <v>5410761154726.8975</v>
      </c>
      <c r="AG5" s="5">
        <f>'TX Calculations'!AG382*1000000000000</f>
        <v>5382168355568.6953</v>
      </c>
      <c r="AH5" s="5">
        <f>'TX Calculations'!AH382*1000000000000</f>
        <v>5353575556410.4932</v>
      </c>
      <c r="AI5" s="5">
        <f>'TX Calculations'!AI382*1000000000000</f>
        <v>5324982757252.2988</v>
      </c>
    </row>
    <row r="6" spans="1:35">
      <c r="A6" s="5" t="s">
        <v>570</v>
      </c>
      <c r="B6" s="5">
        <f>'TX Calculations'!B395*1000000000000</f>
        <v>288903891398.83093</v>
      </c>
      <c r="C6" s="5">
        <f>'TX Calculations'!C395*1000000000000</f>
        <v>287586110195.66931</v>
      </c>
      <c r="D6" s="5">
        <f>'TX Calculations'!D395*1000000000000</f>
        <v>286268328992.50763</v>
      </c>
      <c r="E6" s="5">
        <f>'TX Calculations'!E395*1000000000000</f>
        <v>273723572644.96356</v>
      </c>
      <c r="F6" s="5">
        <f>'TX Calculations'!F395*1000000000000</f>
        <v>251919695772.92999</v>
      </c>
      <c r="G6" s="5">
        <f>'TX Calculations'!G395*1000000000000</f>
        <v>236422544246.30637</v>
      </c>
      <c r="H6" s="5">
        <f>'TX Calculations'!H395*1000000000000</f>
        <v>222441053017.06165</v>
      </c>
      <c r="I6" s="5">
        <f>'TX Calculations'!I395*1000000000000</f>
        <v>206381192508.28674</v>
      </c>
      <c r="J6" s="5">
        <f>'TX Calculations'!J395*1000000000000</f>
        <v>188551356473.83591</v>
      </c>
      <c r="K6" s="5">
        <f>'TX Calculations'!K395*1000000000000</f>
        <v>169889880411.21869</v>
      </c>
      <c r="L6" s="5">
        <f>'TX Calculations'!L395*1000000000000</f>
        <v>151156056050.8963</v>
      </c>
      <c r="M6" s="5">
        <f>'TX Calculations'!M395*1000000000000</f>
        <v>132408346663.74158</v>
      </c>
      <c r="N6" s="5">
        <f>'TX Calculations'!N395*1000000000000</f>
        <v>113573673161.16347</v>
      </c>
      <c r="O6" s="5">
        <f>'TX Calculations'!O395*1000000000000</f>
        <v>94740461240.357193</v>
      </c>
      <c r="P6" s="5">
        <f>'TX Calculations'!P395*1000000000000</f>
        <v>75887517965.631332</v>
      </c>
      <c r="Q6" s="5">
        <f>'TX Calculations'!Q395*1000000000000</f>
        <v>57035451639.968575</v>
      </c>
      <c r="R6" s="5">
        <f>'TX Calculations'!R395*1000000000000</f>
        <v>38169865682.916466</v>
      </c>
      <c r="S6" s="5">
        <f>'TX Calculations'!S395*1000000000000</f>
        <v>19298871873.308609</v>
      </c>
      <c r="T6" s="5">
        <f>'TX Calculations'!T395*1000000000000</f>
        <v>423806827.6753428</v>
      </c>
      <c r="U6" s="5">
        <f>'TX Calculations'!U395*1000000000000</f>
        <v>385127527.66585797</v>
      </c>
      <c r="V6" s="5">
        <f>'TX Calculations'!V395*1000000000000</f>
        <v>385135566.36560303</v>
      </c>
      <c r="W6" s="5">
        <f>'TX Calculations'!W395*1000000000000</f>
        <v>385171375.11901265</v>
      </c>
      <c r="X6" s="5">
        <f>'TX Calculations'!X395*1000000000000</f>
        <v>385207914.6633082</v>
      </c>
      <c r="Y6" s="5">
        <f>'TX Calculations'!Y395*1000000000000</f>
        <v>385243723.41671783</v>
      </c>
      <c r="Z6" s="5">
        <f>'TX Calculations'!Z395*1000000000000</f>
        <v>385279532.17012745</v>
      </c>
      <c r="AA6" s="5">
        <f>'TX Calculations'!AA395*1000000000000</f>
        <v>385316071.714423</v>
      </c>
      <c r="AB6" s="5">
        <f>'TX Calculations'!AB395*1000000000000</f>
        <v>385351880.46783262</v>
      </c>
      <c r="AC6" s="5">
        <f>'TX Calculations'!AC395*1000000000000</f>
        <v>385388420.01212817</v>
      </c>
      <c r="AD6" s="5">
        <f>'TX Calculations'!AD395*1000000000000</f>
        <v>385424228.7655378</v>
      </c>
      <c r="AE6" s="5">
        <f>'TX Calculations'!AE395*1000000000000</f>
        <v>385460037.51894742</v>
      </c>
      <c r="AF6" s="5">
        <f>'TX Calculations'!AF395*1000000000000</f>
        <v>385495846.27235705</v>
      </c>
      <c r="AG6" s="5">
        <f>'TX Calculations'!AG395*1000000000000</f>
        <v>385532385.8166526</v>
      </c>
      <c r="AH6" s="5">
        <f>'TX Calculations'!AH395*1000000000000</f>
        <v>385568194.57006222</v>
      </c>
      <c r="AI6" s="5">
        <f>'TX Calculations'!AI395*1000000000000</f>
        <v>385604003.32347184</v>
      </c>
    </row>
    <row r="7" spans="1:35">
      <c r="A7" s="5" t="s">
        <v>571</v>
      </c>
      <c r="B7" s="5">
        <f>'TX Calculations'!B408*1000000000000</f>
        <v>0</v>
      </c>
      <c r="C7" s="5">
        <f>'TX Calculations'!C408*1000000000000</f>
        <v>0</v>
      </c>
      <c r="D7" s="5">
        <f>'TX Calculations'!D408*1000000000000</f>
        <v>0</v>
      </c>
      <c r="E7" s="5">
        <f>'TX Calculations'!E408*1000000000000</f>
        <v>0</v>
      </c>
      <c r="F7" s="5">
        <f>'TX Calculations'!F408*1000000000000</f>
        <v>0</v>
      </c>
      <c r="G7" s="5">
        <f>'TX Calculations'!G408*1000000000000</f>
        <v>0</v>
      </c>
      <c r="H7" s="5">
        <f>'TX Calculations'!H408*1000000000000</f>
        <v>0</v>
      </c>
      <c r="I7" s="5">
        <f>'TX Calculations'!I408*1000000000000</f>
        <v>0</v>
      </c>
      <c r="J7" s="5">
        <f>'TX Calculations'!J408*1000000000000</f>
        <v>0</v>
      </c>
      <c r="K7" s="5">
        <f>'TX Calculations'!K408*1000000000000</f>
        <v>0</v>
      </c>
      <c r="L7" s="5">
        <f>'TX Calculations'!L408*1000000000000</f>
        <v>0</v>
      </c>
      <c r="M7" s="5">
        <f>'TX Calculations'!M408*1000000000000</f>
        <v>0</v>
      </c>
      <c r="N7" s="5">
        <f>'TX Calculations'!N408*1000000000000</f>
        <v>0</v>
      </c>
      <c r="O7" s="5">
        <f>'TX Calculations'!O408*1000000000000</f>
        <v>0</v>
      </c>
      <c r="P7" s="5">
        <f>'TX Calculations'!P408*1000000000000</f>
        <v>0</v>
      </c>
      <c r="Q7" s="5">
        <f>'TX Calculations'!Q408*1000000000000</f>
        <v>0</v>
      </c>
      <c r="R7" s="5">
        <f>'TX Calculations'!R408*1000000000000</f>
        <v>0</v>
      </c>
      <c r="S7" s="5">
        <f>'TX Calculations'!S408*1000000000000</f>
        <v>0</v>
      </c>
      <c r="T7" s="5">
        <f>'TX Calculations'!T408*1000000000000</f>
        <v>0</v>
      </c>
      <c r="U7" s="5">
        <f>'TX Calculations'!U408*1000000000000</f>
        <v>0</v>
      </c>
      <c r="V7" s="5">
        <f>'TX Calculations'!V408*1000000000000</f>
        <v>0</v>
      </c>
      <c r="W7" s="5">
        <f>'TX Calculations'!W408*1000000000000</f>
        <v>0</v>
      </c>
      <c r="X7" s="5">
        <f>'TX Calculations'!X408*1000000000000</f>
        <v>0</v>
      </c>
      <c r="Y7" s="5">
        <f>'TX Calculations'!Y408*1000000000000</f>
        <v>0</v>
      </c>
      <c r="Z7" s="5">
        <f>'TX Calculations'!Z408*1000000000000</f>
        <v>0</v>
      </c>
      <c r="AA7" s="5">
        <f>'TX Calculations'!AA408*1000000000000</f>
        <v>0</v>
      </c>
      <c r="AB7" s="5">
        <f>'TX Calculations'!AB408*1000000000000</f>
        <v>0</v>
      </c>
      <c r="AC7" s="5">
        <f>'TX Calculations'!AC408*1000000000000</f>
        <v>0</v>
      </c>
      <c r="AD7" s="5">
        <f>'TX Calculations'!AD408*1000000000000</f>
        <v>0</v>
      </c>
      <c r="AE7" s="5">
        <f>'TX Calculations'!AE408*1000000000000</f>
        <v>0</v>
      </c>
      <c r="AF7" s="5">
        <f>'TX Calculations'!AF408*1000000000000</f>
        <v>0</v>
      </c>
      <c r="AG7" s="5">
        <f>'TX Calculations'!AG408*1000000000000</f>
        <v>0</v>
      </c>
      <c r="AH7" s="5">
        <f>'TX Calculations'!AH408*1000000000000</f>
        <v>0</v>
      </c>
      <c r="AI7" s="5">
        <f>'TX Calculations'!AI408*1000000000000</f>
        <v>0</v>
      </c>
    </row>
    <row r="8" spans="1:35">
      <c r="A8" s="5" t="s">
        <v>572</v>
      </c>
      <c r="B8" s="28">
        <f>'TX Calculations'!B421*1000000000000</f>
        <v>0</v>
      </c>
      <c r="C8" s="28">
        <f>'TX Calculations'!C421*1000000000000</f>
        <v>0</v>
      </c>
      <c r="D8" s="28">
        <f>'TX Calculations'!D421*1000000000000</f>
        <v>0</v>
      </c>
      <c r="E8" s="28">
        <f>'TX Calculations'!E421*1000000000000</f>
        <v>0</v>
      </c>
      <c r="F8" s="28">
        <f>'TX Calculations'!F421*1000000000000</f>
        <v>0</v>
      </c>
      <c r="G8" s="28">
        <f>'TX Calculations'!G421*1000000000000</f>
        <v>0</v>
      </c>
      <c r="H8" s="28">
        <f>'TX Calculations'!H421*1000000000000</f>
        <v>0</v>
      </c>
      <c r="I8" s="28">
        <f>'TX Calculations'!I421*1000000000000</f>
        <v>0</v>
      </c>
      <c r="J8" s="28">
        <f>'TX Calculations'!J421*1000000000000</f>
        <v>0</v>
      </c>
      <c r="K8" s="28">
        <f>'TX Calculations'!K421*1000000000000</f>
        <v>0</v>
      </c>
      <c r="L8" s="28">
        <f>'TX Calculations'!L421*1000000000000</f>
        <v>0</v>
      </c>
      <c r="M8" s="28">
        <f>'TX Calculations'!M421*1000000000000</f>
        <v>0</v>
      </c>
      <c r="N8" s="28">
        <f>'TX Calculations'!N421*1000000000000</f>
        <v>0</v>
      </c>
      <c r="O8" s="28">
        <f>'TX Calculations'!O421*1000000000000</f>
        <v>0</v>
      </c>
      <c r="P8" s="28">
        <f>'TX Calculations'!P421*1000000000000</f>
        <v>0</v>
      </c>
      <c r="Q8" s="28">
        <f>'TX Calculations'!Q421*1000000000000</f>
        <v>0</v>
      </c>
      <c r="R8" s="28">
        <f>'TX Calculations'!R421*1000000000000</f>
        <v>0</v>
      </c>
      <c r="S8" s="28">
        <f>'TX Calculations'!S421*1000000000000</f>
        <v>0</v>
      </c>
      <c r="T8" s="28">
        <f>'TX Calculations'!T421*1000000000000</f>
        <v>0</v>
      </c>
      <c r="U8" s="28">
        <f>'TX Calculations'!U421*1000000000000</f>
        <v>0</v>
      </c>
      <c r="V8" s="28">
        <f>'TX Calculations'!V421*1000000000000</f>
        <v>0</v>
      </c>
      <c r="W8" s="28">
        <f>'TX Calculations'!W421*1000000000000</f>
        <v>0</v>
      </c>
      <c r="X8" s="28">
        <f>'TX Calculations'!X421*1000000000000</f>
        <v>0</v>
      </c>
      <c r="Y8" s="28">
        <f>'TX Calculations'!Y421*1000000000000</f>
        <v>0</v>
      </c>
      <c r="Z8" s="28">
        <f>'TX Calculations'!Z421*1000000000000</f>
        <v>0</v>
      </c>
      <c r="AA8" s="28">
        <f>'TX Calculations'!AA421*1000000000000</f>
        <v>0</v>
      </c>
      <c r="AB8" s="28">
        <f>'TX Calculations'!AB421*1000000000000</f>
        <v>0</v>
      </c>
      <c r="AC8" s="28">
        <f>'TX Calculations'!AC421*1000000000000</f>
        <v>0</v>
      </c>
      <c r="AD8" s="28">
        <f>'TX Calculations'!AD421*1000000000000</f>
        <v>0</v>
      </c>
      <c r="AE8" s="28">
        <f>'TX Calculations'!AE421*1000000000000</f>
        <v>0</v>
      </c>
      <c r="AF8" s="28">
        <f>'TX Calculations'!AF421*1000000000000</f>
        <v>0</v>
      </c>
      <c r="AG8" s="28">
        <f>'TX Calculations'!AG421*1000000000000</f>
        <v>0</v>
      </c>
      <c r="AH8" s="28">
        <f>'TX Calculations'!AH421*1000000000000</f>
        <v>0</v>
      </c>
      <c r="AI8" s="28">
        <f>'TX Calculations'!AI421*1000000000000</f>
        <v>0</v>
      </c>
    </row>
    <row r="9" spans="1:35">
      <c r="A9" s="5" t="s">
        <v>573</v>
      </c>
      <c r="B9" s="5">
        <f>'TX Calculations'!B434*1000000000000</f>
        <v>8141547700670.7881</v>
      </c>
      <c r="C9" s="5">
        <f>'TX Calculations'!C434*1000000000000</f>
        <v>8104411549708.4697</v>
      </c>
      <c r="D9" s="5">
        <f>'TX Calculations'!D434*1000000000000</f>
        <v>8067275398746.1514</v>
      </c>
      <c r="E9" s="5">
        <f>'TX Calculations'!E434*1000000000000</f>
        <v>8041366222928.2178</v>
      </c>
      <c r="F9" s="5">
        <f>'TX Calculations'!F434*1000000000000</f>
        <v>8024716167634.7734</v>
      </c>
      <c r="G9" s="5">
        <f>'TX Calculations'!G434*1000000000000</f>
        <v>8001759386995.918</v>
      </c>
      <c r="H9" s="5">
        <f>'TX Calculations'!H434*1000000000000</f>
        <v>7977286946059.6846</v>
      </c>
      <c r="I9" s="5">
        <f>'TX Calculations'!I434*1000000000000</f>
        <v>7954892874402.9795</v>
      </c>
      <c r="J9" s="5">
        <f>'TX Calculations'!J434*1000000000000</f>
        <v>7934268778271.9521</v>
      </c>
      <c r="K9" s="5">
        <f>'TX Calculations'!K434*1000000000000</f>
        <v>7914476322169.0898</v>
      </c>
      <c r="L9" s="5">
        <f>'TX Calculations'!L434*1000000000000</f>
        <v>7894756214363.9336</v>
      </c>
      <c r="M9" s="5">
        <f>'TX Calculations'!M434*1000000000000</f>
        <v>7875049991585.6104</v>
      </c>
      <c r="N9" s="5">
        <f>'TX Calculations'!N434*1000000000000</f>
        <v>7855430732922.71</v>
      </c>
      <c r="O9" s="5">
        <f>'TX Calculations'!O434*1000000000000</f>
        <v>7835810012678.0381</v>
      </c>
      <c r="P9" s="5">
        <f>'TX Calculations'!P434*1000000000000</f>
        <v>7816209023787.2852</v>
      </c>
      <c r="Q9" s="5">
        <f>'TX Calculations'!Q434*1000000000000</f>
        <v>7796607157947.4688</v>
      </c>
      <c r="R9" s="5">
        <f>'TX Calculations'!R434*1000000000000</f>
        <v>7777018811739.042</v>
      </c>
      <c r="S9" s="5">
        <f>'TX Calculations'!S434*1000000000000</f>
        <v>7757435873383.1709</v>
      </c>
      <c r="T9" s="5">
        <f>'TX Calculations'!T434*1000000000000</f>
        <v>7737857006263.3262</v>
      </c>
      <c r="U9" s="5">
        <f>'TX Calculations'!U434*1000000000000</f>
        <v>7699441753397.8564</v>
      </c>
      <c r="V9" s="5">
        <f>'TX Calculations'!V434*1000000000000</f>
        <v>7660987813193.6777</v>
      </c>
      <c r="W9" s="5">
        <f>'TX Calculations'!W434*1000000000000</f>
        <v>7622533845219.4463</v>
      </c>
      <c r="X9" s="5">
        <f>'TX Calculations'!X434*1000000000000</f>
        <v>7584079876514.4238</v>
      </c>
      <c r="Y9" s="5">
        <f>'TX Calculations'!Y434*1000000000000</f>
        <v>7545625908540.1904</v>
      </c>
      <c r="Z9" s="5">
        <f>'TX Calculations'!Z434*1000000000000</f>
        <v>7507171940565.959</v>
      </c>
      <c r="AA9" s="5">
        <f>'TX Calculations'!AA434*1000000000000</f>
        <v>7468717971860.9365</v>
      </c>
      <c r="AB9" s="5">
        <f>'TX Calculations'!AB434*1000000000000</f>
        <v>7430264003886.7031</v>
      </c>
      <c r="AC9" s="5">
        <f>'TX Calculations'!AC434*1000000000000</f>
        <v>7391810035181.6807</v>
      </c>
      <c r="AD9" s="5">
        <f>'TX Calculations'!AD434*1000000000000</f>
        <v>7353356067207.4492</v>
      </c>
      <c r="AE9" s="5">
        <f>'TX Calculations'!AE434*1000000000000</f>
        <v>7314902099233.2168</v>
      </c>
      <c r="AF9" s="5">
        <f>'TX Calculations'!AF434*1000000000000</f>
        <v>7276448131258.9854</v>
      </c>
      <c r="AG9" s="5">
        <f>'TX Calculations'!AG434*1000000000000</f>
        <v>7237994162553.9619</v>
      </c>
      <c r="AH9" s="5">
        <f>'TX Calculations'!AH434*1000000000000</f>
        <v>7199540194579.7295</v>
      </c>
      <c r="AI9" s="5">
        <f>'TX Calculations'!AI434*1000000000000</f>
        <v>7161086226605.5088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AI9"/>
    </sheetView>
  </sheetViews>
  <sheetFormatPr defaultColWidth="9.1328125" defaultRowHeight="14.25"/>
  <cols>
    <col min="1" max="1" width="39.796875" style="5" customWidth="1"/>
    <col min="2" max="2" width="12.6640625" style="5" bestFit="1" customWidth="1"/>
    <col min="3"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f>'TX Calculations'!B344*1000000000000</f>
        <v>0</v>
      </c>
      <c r="C2" s="5">
        <f>'TX Calculations'!C344*1000000000000</f>
        <v>0</v>
      </c>
      <c r="D2" s="5">
        <f>'TX Calculations'!D344*1000000000000</f>
        <v>0</v>
      </c>
      <c r="E2" s="5">
        <f>'TX Calculations'!E344*1000000000000</f>
        <v>0</v>
      </c>
      <c r="F2" s="5">
        <f>'TX Calculations'!F344*1000000000000</f>
        <v>0</v>
      </c>
      <c r="G2" s="5">
        <f>'TX Calculations'!G344*1000000000000</f>
        <v>0</v>
      </c>
      <c r="H2" s="5">
        <f>'TX Calculations'!H344*1000000000000</f>
        <v>0</v>
      </c>
      <c r="I2" s="5">
        <f>'TX Calculations'!I344*1000000000000</f>
        <v>0</v>
      </c>
      <c r="J2" s="5">
        <f>'TX Calculations'!J344*1000000000000</f>
        <v>0</v>
      </c>
      <c r="K2" s="5">
        <f>'TX Calculations'!K344*1000000000000</f>
        <v>0</v>
      </c>
      <c r="L2" s="5">
        <f>'TX Calculations'!L344*1000000000000</f>
        <v>0</v>
      </c>
      <c r="M2" s="5">
        <f>'TX Calculations'!M344*1000000000000</f>
        <v>0</v>
      </c>
      <c r="N2" s="5">
        <f>'TX Calculations'!N344*1000000000000</f>
        <v>0</v>
      </c>
      <c r="O2" s="5">
        <f>'TX Calculations'!O344*1000000000000</f>
        <v>0</v>
      </c>
      <c r="P2" s="5">
        <f>'TX Calculations'!P344*1000000000000</f>
        <v>0</v>
      </c>
      <c r="Q2" s="5">
        <f>'TX Calculations'!Q344*1000000000000</f>
        <v>0</v>
      </c>
      <c r="R2" s="5">
        <f>'TX Calculations'!R344*1000000000000</f>
        <v>0</v>
      </c>
      <c r="S2" s="5">
        <f>'TX Calculations'!S344*1000000000000</f>
        <v>0</v>
      </c>
      <c r="T2" s="5">
        <f>'TX Calculations'!T344*1000000000000</f>
        <v>0</v>
      </c>
      <c r="U2" s="5">
        <f>'TX Calculations'!U344*1000000000000</f>
        <v>0</v>
      </c>
      <c r="V2" s="5">
        <f>'TX Calculations'!V344*1000000000000</f>
        <v>0</v>
      </c>
      <c r="W2" s="5">
        <f>'TX Calculations'!W344*1000000000000</f>
        <v>0</v>
      </c>
      <c r="X2" s="5">
        <f>'TX Calculations'!X344*1000000000000</f>
        <v>0</v>
      </c>
      <c r="Y2" s="5">
        <f>'TX Calculations'!Y344*1000000000000</f>
        <v>0</v>
      </c>
      <c r="Z2" s="5">
        <f>'TX Calculations'!Z344*1000000000000</f>
        <v>0</v>
      </c>
      <c r="AA2" s="5">
        <f>'TX Calculations'!AA344*1000000000000</f>
        <v>0</v>
      </c>
      <c r="AB2" s="5">
        <f>'TX Calculations'!AB344*1000000000000</f>
        <v>0</v>
      </c>
      <c r="AC2" s="5">
        <f>'TX Calculations'!AC344*1000000000000</f>
        <v>0</v>
      </c>
      <c r="AD2" s="5">
        <f>'TX Calculations'!AD344*1000000000000</f>
        <v>0</v>
      </c>
      <c r="AE2" s="5">
        <f>'TX Calculations'!AE344*1000000000000</f>
        <v>0</v>
      </c>
      <c r="AF2" s="5">
        <f>'TX Calculations'!AF344*1000000000000</f>
        <v>0</v>
      </c>
      <c r="AG2" s="5">
        <f>'TX Calculations'!AG344*1000000000000</f>
        <v>0</v>
      </c>
      <c r="AH2" s="5">
        <f>'TX Calculations'!AH344*1000000000000</f>
        <v>0</v>
      </c>
      <c r="AI2" s="5">
        <f>'TX Calculations'!AI344*1000000000000</f>
        <v>0</v>
      </c>
    </row>
    <row r="3" spans="1:35">
      <c r="A3" s="5" t="s">
        <v>567</v>
      </c>
      <c r="B3" s="5">
        <f>'TX Calculations'!B357*1000000000000</f>
        <v>210964219950364.5</v>
      </c>
      <c r="C3" s="5">
        <f>'TX Calculations'!C357*1000000000000</f>
        <v>215138862058009.38</v>
      </c>
      <c r="D3" s="5">
        <f>'TX Calculations'!D357*1000000000000</f>
        <v>219313504165654.28</v>
      </c>
      <c r="E3" s="5">
        <f>'TX Calculations'!E357*1000000000000</f>
        <v>223488146273299.19</v>
      </c>
      <c r="F3" s="5">
        <f>'TX Calculations'!F357*1000000000000</f>
        <v>227662788380944.06</v>
      </c>
      <c r="G3" s="5">
        <f>'TX Calculations'!G357*1000000000000</f>
        <v>231837430488588.94</v>
      </c>
      <c r="H3" s="5">
        <f>'TX Calculations'!H357*1000000000000</f>
        <v>236012072596233.84</v>
      </c>
      <c r="I3" s="5">
        <f>'TX Calculations'!I357*1000000000000</f>
        <v>240186714703878.75</v>
      </c>
      <c r="J3" s="5">
        <f>'TX Calculations'!J357*1000000000000</f>
        <v>244361356811523.63</v>
      </c>
      <c r="K3" s="5">
        <f>'TX Calculations'!K357*1000000000000</f>
        <v>248535998919168.53</v>
      </c>
      <c r="L3" s="5">
        <f>'TX Calculations'!L357*1000000000000</f>
        <v>252710641026813.41</v>
      </c>
      <c r="M3" s="5">
        <f>'TX Calculations'!M357*1000000000000</f>
        <v>256885283134458.28</v>
      </c>
      <c r="N3" s="5">
        <f>'TX Calculations'!N357*1000000000000</f>
        <v>261059925242103.19</v>
      </c>
      <c r="O3" s="5">
        <f>'TX Calculations'!O357*1000000000000</f>
        <v>265234567349748.09</v>
      </c>
      <c r="P3" s="5">
        <f>'TX Calculations'!P357*1000000000000</f>
        <v>269409209457393</v>
      </c>
      <c r="Q3" s="5">
        <f>'TX Calculations'!Q357*1000000000000</f>
        <v>273583851565037.88</v>
      </c>
      <c r="R3" s="5">
        <f>'TX Calculations'!R357*1000000000000</f>
        <v>277758493672682.72</v>
      </c>
      <c r="S3" s="5">
        <f>'TX Calculations'!S357*1000000000000</f>
        <v>281933135780327.63</v>
      </c>
      <c r="T3" s="5">
        <f>'TX Calculations'!T357*1000000000000</f>
        <v>286107777887972.56</v>
      </c>
      <c r="U3" s="5">
        <f>'TX Calculations'!U357*1000000000000</f>
        <v>290282419995617.44</v>
      </c>
      <c r="V3" s="5">
        <f>'TX Calculations'!V357*1000000000000</f>
        <v>294457062103262.31</v>
      </c>
      <c r="W3" s="5">
        <f>'TX Calculations'!W357*1000000000000</f>
        <v>298631704210907.25</v>
      </c>
      <c r="X3" s="5">
        <f>'TX Calculations'!X357*1000000000000</f>
        <v>302806346318552.13</v>
      </c>
      <c r="Y3" s="5">
        <f>'TX Calculations'!Y357*1000000000000</f>
        <v>306980988426197</v>
      </c>
      <c r="Z3" s="5">
        <f>'TX Calculations'!Z357*1000000000000</f>
        <v>311155630533841.88</v>
      </c>
      <c r="AA3" s="5">
        <f>'TX Calculations'!AA357*1000000000000</f>
        <v>315330272641486.75</v>
      </c>
      <c r="AB3" s="5">
        <f>'TX Calculations'!AB357*1000000000000</f>
        <v>319504914749131.69</v>
      </c>
      <c r="AC3" s="5">
        <f>'TX Calculations'!AC357*1000000000000</f>
        <v>323679556856776.56</v>
      </c>
      <c r="AD3" s="5">
        <f>'TX Calculations'!AD357*1000000000000</f>
        <v>327854198964421.5</v>
      </c>
      <c r="AE3" s="5">
        <f>'TX Calculations'!AE357*1000000000000</f>
        <v>332028841072066.38</v>
      </c>
      <c r="AF3" s="5">
        <f>'TX Calculations'!AF357*1000000000000</f>
        <v>336203483179711.19</v>
      </c>
      <c r="AG3" s="5">
        <f>'TX Calculations'!AG357*1000000000000</f>
        <v>340378125287356.13</v>
      </c>
      <c r="AH3" s="5">
        <f>'TX Calculations'!AH357*1000000000000</f>
        <v>344552767395000.94</v>
      </c>
      <c r="AI3" s="5">
        <f>'TX Calculations'!AI357*1000000000000</f>
        <v>348727409502645.31</v>
      </c>
    </row>
    <row r="4" spans="1:35">
      <c r="A4" s="5" t="s">
        <v>568</v>
      </c>
      <c r="B4" s="5">
        <f>'TX Calculations'!B370*1000000000000</f>
        <v>0</v>
      </c>
      <c r="C4" s="5">
        <f>'TX Calculations'!C370*1000000000000</f>
        <v>0</v>
      </c>
      <c r="D4" s="5">
        <f>'TX Calculations'!D370*1000000000000</f>
        <v>0</v>
      </c>
      <c r="E4" s="5">
        <f>'TX Calculations'!E370*1000000000000</f>
        <v>0</v>
      </c>
      <c r="F4" s="5">
        <f>'TX Calculations'!F370*1000000000000</f>
        <v>0</v>
      </c>
      <c r="G4" s="5">
        <f>'TX Calculations'!G370*1000000000000</f>
        <v>0</v>
      </c>
      <c r="H4" s="5">
        <f>'TX Calculations'!H370*1000000000000</f>
        <v>0</v>
      </c>
      <c r="I4" s="5">
        <f>'TX Calculations'!I370*1000000000000</f>
        <v>0</v>
      </c>
      <c r="J4" s="5">
        <f>'TX Calculations'!J370*1000000000000</f>
        <v>0</v>
      </c>
      <c r="K4" s="5">
        <f>'TX Calculations'!K370*1000000000000</f>
        <v>0</v>
      </c>
      <c r="L4" s="5">
        <f>'TX Calculations'!L370*1000000000000</f>
        <v>0</v>
      </c>
      <c r="M4" s="5">
        <f>'TX Calculations'!M370*1000000000000</f>
        <v>0</v>
      </c>
      <c r="N4" s="5">
        <f>'TX Calculations'!N370*1000000000000</f>
        <v>0</v>
      </c>
      <c r="O4" s="5">
        <f>'TX Calculations'!O370*1000000000000</f>
        <v>0</v>
      </c>
      <c r="P4" s="5">
        <f>'TX Calculations'!P370*1000000000000</f>
        <v>0</v>
      </c>
      <c r="Q4" s="5">
        <f>'TX Calculations'!Q370*1000000000000</f>
        <v>0</v>
      </c>
      <c r="R4" s="5">
        <f>'TX Calculations'!R370*1000000000000</f>
        <v>0</v>
      </c>
      <c r="S4" s="5">
        <f>'TX Calculations'!S370*1000000000000</f>
        <v>0</v>
      </c>
      <c r="T4" s="5">
        <f>'TX Calculations'!T370*1000000000000</f>
        <v>0</v>
      </c>
      <c r="U4" s="5">
        <f>'TX Calculations'!U370*1000000000000</f>
        <v>0</v>
      </c>
      <c r="V4" s="5">
        <f>'TX Calculations'!V370*1000000000000</f>
        <v>0</v>
      </c>
      <c r="W4" s="5">
        <f>'TX Calculations'!W370*1000000000000</f>
        <v>0</v>
      </c>
      <c r="X4" s="5">
        <f>'TX Calculations'!X370*1000000000000</f>
        <v>0</v>
      </c>
      <c r="Y4" s="5">
        <f>'TX Calculations'!Y370*1000000000000</f>
        <v>0</v>
      </c>
      <c r="Z4" s="5">
        <f>'TX Calculations'!Z370*1000000000000</f>
        <v>0</v>
      </c>
      <c r="AA4" s="5">
        <f>'TX Calculations'!AA370*1000000000000</f>
        <v>0</v>
      </c>
      <c r="AB4" s="5">
        <f>'TX Calculations'!AB370*1000000000000</f>
        <v>0</v>
      </c>
      <c r="AC4" s="5">
        <f>'TX Calculations'!AC370*1000000000000</f>
        <v>0</v>
      </c>
      <c r="AD4" s="5">
        <f>'TX Calculations'!AD370*1000000000000</f>
        <v>0</v>
      </c>
      <c r="AE4" s="5">
        <f>'TX Calculations'!AE370*1000000000000</f>
        <v>0</v>
      </c>
      <c r="AF4" s="5">
        <f>'TX Calculations'!AF370*1000000000000</f>
        <v>0</v>
      </c>
      <c r="AG4" s="5">
        <f>'TX Calculations'!AG370*1000000000000</f>
        <v>0</v>
      </c>
      <c r="AH4" s="5">
        <f>'TX Calculations'!AH370*1000000000000</f>
        <v>0</v>
      </c>
      <c r="AI4" s="5">
        <f>'TX Calculations'!AI370*1000000000000</f>
        <v>0</v>
      </c>
    </row>
    <row r="5" spans="1:35">
      <c r="A5" s="5" t="s">
        <v>569</v>
      </c>
      <c r="B5" s="5">
        <f>'TX Calculations'!B383*1000000000000</f>
        <v>2272752962189243</v>
      </c>
      <c r="C5" s="5">
        <f>'TX Calculations'!C383*1000000000000</f>
        <v>2317727082532788.5</v>
      </c>
      <c r="D5" s="5">
        <f>'TX Calculations'!D383*1000000000000</f>
        <v>2362701202876334.5</v>
      </c>
      <c r="E5" s="5">
        <f>'TX Calculations'!E383*1000000000000</f>
        <v>2407675323219879.5</v>
      </c>
      <c r="F5" s="5">
        <f>'TX Calculations'!F383*1000000000000</f>
        <v>2452649443563425</v>
      </c>
      <c r="G5" s="5">
        <f>'TX Calculations'!G383*1000000000000</f>
        <v>2497623563906970.5</v>
      </c>
      <c r="H5" s="5">
        <f>'TX Calculations'!H383*1000000000000</f>
        <v>2542597684250515.5</v>
      </c>
      <c r="I5" s="5">
        <f>'TX Calculations'!I383*1000000000000</f>
        <v>2587571804594061</v>
      </c>
      <c r="J5" s="5">
        <f>'TX Calculations'!J383*1000000000000</f>
        <v>2632545924937606.5</v>
      </c>
      <c r="K5" s="5">
        <f>'TX Calculations'!K383*1000000000000</f>
        <v>2677520045281152</v>
      </c>
      <c r="L5" s="5">
        <f>'TX Calculations'!L383*1000000000000</f>
        <v>2722494165624697.5</v>
      </c>
      <c r="M5" s="5">
        <f>'TX Calculations'!M383*1000000000000</f>
        <v>2767468285968242.5</v>
      </c>
      <c r="N5" s="5">
        <f>'TX Calculations'!N383*1000000000000</f>
        <v>2812442406311788</v>
      </c>
      <c r="O5" s="5">
        <f>'TX Calculations'!O383*1000000000000</f>
        <v>2857416526655333</v>
      </c>
      <c r="P5" s="5">
        <f>'TX Calculations'!P383*1000000000000</f>
        <v>2902390646998879</v>
      </c>
      <c r="Q5" s="5">
        <f>'TX Calculations'!Q383*1000000000000</f>
        <v>2947364767342424.5</v>
      </c>
      <c r="R5" s="5">
        <f>'TX Calculations'!R383*1000000000000</f>
        <v>2992338887685969.5</v>
      </c>
      <c r="S5" s="5">
        <f>'TX Calculations'!S383*1000000000000</f>
        <v>3037313008029515</v>
      </c>
      <c r="T5" s="5">
        <f>'TX Calculations'!T383*1000000000000</f>
        <v>3082287128373060.5</v>
      </c>
      <c r="U5" s="5">
        <f>'TX Calculations'!U383*1000000000000</f>
        <v>3127261248716605.5</v>
      </c>
      <c r="V5" s="5">
        <f>'TX Calculations'!V383*1000000000000</f>
        <v>3172235369060151</v>
      </c>
      <c r="W5" s="5">
        <f>'TX Calculations'!W383*1000000000000</f>
        <v>3217209489403696.5</v>
      </c>
      <c r="X5" s="5">
        <f>'TX Calculations'!X383*1000000000000</f>
        <v>3262183609747242</v>
      </c>
      <c r="Y5" s="5">
        <f>'TX Calculations'!Y383*1000000000000</f>
        <v>3307157730090787.5</v>
      </c>
      <c r="Z5" s="5">
        <f>'TX Calculations'!Z383*1000000000000</f>
        <v>3352131850434332.5</v>
      </c>
      <c r="AA5" s="5">
        <f>'TX Calculations'!AA383*1000000000000</f>
        <v>3397105970777878</v>
      </c>
      <c r="AB5" s="5">
        <f>'TX Calculations'!AB383*1000000000000</f>
        <v>3442080091121423.5</v>
      </c>
      <c r="AC5" s="5">
        <f>'TX Calculations'!AC383*1000000000000</f>
        <v>3487054211464969</v>
      </c>
      <c r="AD5" s="5">
        <f>'TX Calculations'!AD383*1000000000000</f>
        <v>3532028331808514.5</v>
      </c>
      <c r="AE5" s="5">
        <f>'TX Calculations'!AE383*1000000000000</f>
        <v>3577002452152059.5</v>
      </c>
      <c r="AF5" s="5">
        <f>'TX Calculations'!AF383*1000000000000</f>
        <v>3621976572495605</v>
      </c>
      <c r="AG5" s="5">
        <f>'TX Calculations'!AG383*1000000000000</f>
        <v>3666950692839150.5</v>
      </c>
      <c r="AH5" s="5">
        <f>'TX Calculations'!AH383*1000000000000</f>
        <v>3711924813182695.5</v>
      </c>
      <c r="AI5" s="5">
        <f>'TX Calculations'!AI383*1000000000000</f>
        <v>3756898933526235</v>
      </c>
    </row>
    <row r="6" spans="1:35">
      <c r="A6" s="5" t="s">
        <v>570</v>
      </c>
      <c r="B6" s="5">
        <f>'TX Calculations'!B396*1000000000000</f>
        <v>0</v>
      </c>
      <c r="C6" s="5">
        <f>'TX Calculations'!C396*1000000000000</f>
        <v>0</v>
      </c>
      <c r="D6" s="5">
        <f>'TX Calculations'!D396*1000000000000</f>
        <v>0</v>
      </c>
      <c r="E6" s="5">
        <f>'TX Calculations'!E396*1000000000000</f>
        <v>0</v>
      </c>
      <c r="F6" s="5">
        <f>'TX Calculations'!F396*1000000000000</f>
        <v>0</v>
      </c>
      <c r="G6" s="5">
        <f>'TX Calculations'!G396*1000000000000</f>
        <v>0</v>
      </c>
      <c r="H6" s="5">
        <f>'TX Calculations'!H396*1000000000000</f>
        <v>0</v>
      </c>
      <c r="I6" s="5">
        <f>'TX Calculations'!I396*1000000000000</f>
        <v>0</v>
      </c>
      <c r="J6" s="5">
        <f>'TX Calculations'!J396*1000000000000</f>
        <v>0</v>
      </c>
      <c r="K6" s="5">
        <f>'TX Calculations'!K396*1000000000000</f>
        <v>0</v>
      </c>
      <c r="L6" s="5">
        <f>'TX Calculations'!L396*1000000000000</f>
        <v>0</v>
      </c>
      <c r="M6" s="5">
        <f>'TX Calculations'!M396*1000000000000</f>
        <v>0</v>
      </c>
      <c r="N6" s="5">
        <f>'TX Calculations'!N396*1000000000000</f>
        <v>0</v>
      </c>
      <c r="O6" s="5">
        <f>'TX Calculations'!O396*1000000000000</f>
        <v>0</v>
      </c>
      <c r="P6" s="5">
        <f>'TX Calculations'!P396*1000000000000</f>
        <v>0</v>
      </c>
      <c r="Q6" s="5">
        <f>'TX Calculations'!Q396*1000000000000</f>
        <v>0</v>
      </c>
      <c r="R6" s="5">
        <f>'TX Calculations'!R396*1000000000000</f>
        <v>0</v>
      </c>
      <c r="S6" s="5">
        <f>'TX Calculations'!S396*1000000000000</f>
        <v>0</v>
      </c>
      <c r="T6" s="5">
        <f>'TX Calculations'!T396*1000000000000</f>
        <v>0</v>
      </c>
      <c r="U6" s="5">
        <f>'TX Calculations'!U396*1000000000000</f>
        <v>0</v>
      </c>
      <c r="V6" s="5">
        <f>'TX Calculations'!V396*1000000000000</f>
        <v>0</v>
      </c>
      <c r="W6" s="5">
        <f>'TX Calculations'!W396*1000000000000</f>
        <v>0</v>
      </c>
      <c r="X6" s="5">
        <f>'TX Calculations'!X396*1000000000000</f>
        <v>0</v>
      </c>
      <c r="Y6" s="5">
        <f>'TX Calculations'!Y396*1000000000000</f>
        <v>0</v>
      </c>
      <c r="Z6" s="5">
        <f>'TX Calculations'!Z396*1000000000000</f>
        <v>0</v>
      </c>
      <c r="AA6" s="5">
        <f>'TX Calculations'!AA396*1000000000000</f>
        <v>0</v>
      </c>
      <c r="AB6" s="5">
        <f>'TX Calculations'!AB396*1000000000000</f>
        <v>0</v>
      </c>
      <c r="AC6" s="5">
        <f>'TX Calculations'!AC396*1000000000000</f>
        <v>0</v>
      </c>
      <c r="AD6" s="5">
        <f>'TX Calculations'!AD396*1000000000000</f>
        <v>0</v>
      </c>
      <c r="AE6" s="5">
        <f>'TX Calculations'!AE396*1000000000000</f>
        <v>0</v>
      </c>
      <c r="AF6" s="5">
        <f>'TX Calculations'!AF396*1000000000000</f>
        <v>0</v>
      </c>
      <c r="AG6" s="5">
        <f>'TX Calculations'!AG396*1000000000000</f>
        <v>0</v>
      </c>
      <c r="AH6" s="5">
        <f>'TX Calculations'!AH396*1000000000000</f>
        <v>0</v>
      </c>
      <c r="AI6" s="5">
        <f>'TX Calculations'!AI396*1000000000000</f>
        <v>0</v>
      </c>
    </row>
    <row r="7" spans="1:35">
      <c r="A7" s="5" t="s">
        <v>571</v>
      </c>
      <c r="B7" s="5">
        <f>'TX Calculations'!B409*1000000000000</f>
        <v>0</v>
      </c>
      <c r="C7" s="5">
        <f>'TX Calculations'!C409*1000000000000</f>
        <v>0</v>
      </c>
      <c r="D7" s="5">
        <f>'TX Calculations'!D409*1000000000000</f>
        <v>0</v>
      </c>
      <c r="E7" s="5">
        <f>'TX Calculations'!E409*1000000000000</f>
        <v>0</v>
      </c>
      <c r="F7" s="5">
        <f>'TX Calculations'!F409*1000000000000</f>
        <v>0</v>
      </c>
      <c r="G7" s="5">
        <f>'TX Calculations'!G409*1000000000000</f>
        <v>0</v>
      </c>
      <c r="H7" s="5">
        <f>'TX Calculations'!H409*1000000000000</f>
        <v>0</v>
      </c>
      <c r="I7" s="5">
        <f>'TX Calculations'!I409*1000000000000</f>
        <v>0</v>
      </c>
      <c r="J7" s="5">
        <f>'TX Calculations'!J409*1000000000000</f>
        <v>0</v>
      </c>
      <c r="K7" s="5">
        <f>'TX Calculations'!K409*1000000000000</f>
        <v>0</v>
      </c>
      <c r="L7" s="5">
        <f>'TX Calculations'!L409*1000000000000</f>
        <v>0</v>
      </c>
      <c r="M7" s="5">
        <f>'TX Calculations'!M409*1000000000000</f>
        <v>0</v>
      </c>
      <c r="N7" s="5">
        <f>'TX Calculations'!N409*1000000000000</f>
        <v>0</v>
      </c>
      <c r="O7" s="5">
        <f>'TX Calculations'!O409*1000000000000</f>
        <v>0</v>
      </c>
      <c r="P7" s="5">
        <f>'TX Calculations'!P409*1000000000000</f>
        <v>0</v>
      </c>
      <c r="Q7" s="5">
        <f>'TX Calculations'!Q409*1000000000000</f>
        <v>0</v>
      </c>
      <c r="R7" s="5">
        <f>'TX Calculations'!R409*1000000000000</f>
        <v>0</v>
      </c>
      <c r="S7" s="5">
        <f>'TX Calculations'!S409*1000000000000</f>
        <v>0</v>
      </c>
      <c r="T7" s="5">
        <f>'TX Calculations'!T409*1000000000000</f>
        <v>0</v>
      </c>
      <c r="U7" s="5">
        <f>'TX Calculations'!U409*1000000000000</f>
        <v>0</v>
      </c>
      <c r="V7" s="5">
        <f>'TX Calculations'!V409*1000000000000</f>
        <v>0</v>
      </c>
      <c r="W7" s="5">
        <f>'TX Calculations'!W409*1000000000000</f>
        <v>0</v>
      </c>
      <c r="X7" s="5">
        <f>'TX Calculations'!X409*1000000000000</f>
        <v>0</v>
      </c>
      <c r="Y7" s="5">
        <f>'TX Calculations'!Y409*1000000000000</f>
        <v>0</v>
      </c>
      <c r="Z7" s="5">
        <f>'TX Calculations'!Z409*1000000000000</f>
        <v>0</v>
      </c>
      <c r="AA7" s="5">
        <f>'TX Calculations'!AA409*1000000000000</f>
        <v>0</v>
      </c>
      <c r="AB7" s="5">
        <f>'TX Calculations'!AB409*1000000000000</f>
        <v>0</v>
      </c>
      <c r="AC7" s="5">
        <f>'TX Calculations'!AC409*1000000000000</f>
        <v>0</v>
      </c>
      <c r="AD7" s="5">
        <f>'TX Calculations'!AD409*1000000000000</f>
        <v>0</v>
      </c>
      <c r="AE7" s="5">
        <f>'TX Calculations'!AE409*1000000000000</f>
        <v>0</v>
      </c>
      <c r="AF7" s="5">
        <f>'TX Calculations'!AF409*1000000000000</f>
        <v>0</v>
      </c>
      <c r="AG7" s="5">
        <f>'TX Calculations'!AG409*1000000000000</f>
        <v>0</v>
      </c>
      <c r="AH7" s="5">
        <f>'TX Calculations'!AH409*1000000000000</f>
        <v>0</v>
      </c>
      <c r="AI7" s="5">
        <f>'TX Calculations'!AI409*1000000000000</f>
        <v>0</v>
      </c>
    </row>
    <row r="8" spans="1:35">
      <c r="A8" s="5" t="s">
        <v>572</v>
      </c>
      <c r="B8" s="30">
        <f>'TX Calculations'!B422*1000000000000</f>
        <v>13719324630713.068</v>
      </c>
      <c r="C8" s="30">
        <f>'TX Calculations'!C422*1000000000000</f>
        <v>13990807967106.793</v>
      </c>
      <c r="D8" s="30">
        <f>'TX Calculations'!D422*1000000000000</f>
        <v>14262291303500.516</v>
      </c>
      <c r="E8" s="30">
        <f>'TX Calculations'!E422*1000000000000</f>
        <v>14533774639894.242</v>
      </c>
      <c r="F8" s="30">
        <f>'TX Calculations'!F422*1000000000000</f>
        <v>14805257976287.967</v>
      </c>
      <c r="G8" s="30">
        <f>'TX Calculations'!G422*1000000000000</f>
        <v>15076741312681.691</v>
      </c>
      <c r="H8" s="30">
        <f>'TX Calculations'!H422*1000000000000</f>
        <v>15348224649075.416</v>
      </c>
      <c r="I8" s="30">
        <f>'TX Calculations'!I422*1000000000000</f>
        <v>15619707985469.139</v>
      </c>
      <c r="J8" s="30">
        <f>'TX Calculations'!J422*1000000000000</f>
        <v>15891191321862.865</v>
      </c>
      <c r="K8" s="30">
        <f>'TX Calculations'!K422*1000000000000</f>
        <v>16162674658256.588</v>
      </c>
      <c r="L8" s="30">
        <f>'TX Calculations'!L422*1000000000000</f>
        <v>16434157994650.313</v>
      </c>
      <c r="M8" s="30">
        <f>'TX Calculations'!M422*1000000000000</f>
        <v>16705641331044.039</v>
      </c>
      <c r="N8" s="30">
        <f>'TX Calculations'!N422*1000000000000</f>
        <v>16977124667437.76</v>
      </c>
      <c r="O8" s="30">
        <f>'TX Calculations'!O422*1000000000000</f>
        <v>17248608003831.484</v>
      </c>
      <c r="P8" s="30">
        <f>'TX Calculations'!P422*1000000000000</f>
        <v>17520091340225.211</v>
      </c>
      <c r="Q8" s="30">
        <f>'TX Calculations'!Q422*1000000000000</f>
        <v>17791574676618.938</v>
      </c>
      <c r="R8" s="30">
        <f>'TX Calculations'!R422*1000000000000</f>
        <v>18063058013012.66</v>
      </c>
      <c r="S8" s="30">
        <f>'TX Calculations'!S422*1000000000000</f>
        <v>18334541349406.383</v>
      </c>
      <c r="T8" s="30">
        <f>'TX Calculations'!T422*1000000000000</f>
        <v>18606024685800.109</v>
      </c>
      <c r="U8" s="30">
        <f>'TX Calculations'!U422*1000000000000</f>
        <v>18877508022193.832</v>
      </c>
      <c r="V8" s="30">
        <f>'TX Calculations'!V422*1000000000000</f>
        <v>19148991358587.559</v>
      </c>
      <c r="W8" s="30">
        <f>'TX Calculations'!W422*1000000000000</f>
        <v>19420474694981.281</v>
      </c>
      <c r="X8" s="30">
        <f>'TX Calculations'!X422*1000000000000</f>
        <v>19691958031375.004</v>
      </c>
      <c r="Y8" s="30">
        <f>'TX Calculations'!Y422*1000000000000</f>
        <v>19963441367768.73</v>
      </c>
      <c r="Z8" s="30">
        <f>'TX Calculations'!Z422*1000000000000</f>
        <v>20234924704162.457</v>
      </c>
      <c r="AA8" s="30">
        <f>'TX Calculations'!AA422*1000000000000</f>
        <v>20506408040556.176</v>
      </c>
      <c r="AB8" s="30">
        <f>'TX Calculations'!AB422*1000000000000</f>
        <v>20777891376949.902</v>
      </c>
      <c r="AC8" s="30">
        <f>'TX Calculations'!AC422*1000000000000</f>
        <v>21049374713343.629</v>
      </c>
      <c r="AD8" s="30">
        <f>'TX Calculations'!AD422*1000000000000</f>
        <v>21320858049737.352</v>
      </c>
      <c r="AE8" s="30">
        <f>'TX Calculations'!AE422*1000000000000</f>
        <v>21592341386131.078</v>
      </c>
      <c r="AF8" s="30">
        <f>'TX Calculations'!AF422*1000000000000</f>
        <v>21863824722524.801</v>
      </c>
      <c r="AG8" s="30">
        <f>'TX Calculations'!AG422*1000000000000</f>
        <v>22135308058918.523</v>
      </c>
      <c r="AH8" s="30">
        <f>'TX Calculations'!AH422*1000000000000</f>
        <v>22406791395312.246</v>
      </c>
      <c r="AI8" s="30">
        <f>'TX Calculations'!AI422*1000000000000</f>
        <v>22678274731705.938</v>
      </c>
    </row>
    <row r="9" spans="1:35">
      <c r="A9" s="5" t="s">
        <v>573</v>
      </c>
      <c r="B9" s="5">
        <f>'TX Calculations'!B435*1000000000000</f>
        <v>36846066154729.672</v>
      </c>
      <c r="C9" s="5">
        <f>'TX Calculations'!C435*1000000000000</f>
        <v>37575190455081.609</v>
      </c>
      <c r="D9" s="5">
        <f>'TX Calculations'!D435*1000000000000</f>
        <v>38304314755433.094</v>
      </c>
      <c r="E9" s="5">
        <f>'TX Calculations'!E435*1000000000000</f>
        <v>39033439055785.492</v>
      </c>
      <c r="F9" s="5">
        <f>'TX Calculations'!F435*1000000000000</f>
        <v>39762563356136.977</v>
      </c>
      <c r="G9" s="5">
        <f>'TX Calculations'!G435*1000000000000</f>
        <v>40491687656488.922</v>
      </c>
      <c r="H9" s="5">
        <f>'TX Calculations'!H435*1000000000000</f>
        <v>41220811956841.32</v>
      </c>
      <c r="I9" s="5">
        <f>'TX Calculations'!I435*1000000000000</f>
        <v>41949936257192.805</v>
      </c>
      <c r="J9" s="5">
        <f>'TX Calculations'!J435*1000000000000</f>
        <v>42679060557545.195</v>
      </c>
      <c r="K9" s="5">
        <f>'TX Calculations'!K435*1000000000000</f>
        <v>43408184857897.141</v>
      </c>
      <c r="L9" s="5">
        <f>'TX Calculations'!L435*1000000000000</f>
        <v>44137309158248.625</v>
      </c>
      <c r="M9" s="5">
        <f>'TX Calculations'!M435*1000000000000</f>
        <v>44866433458601.023</v>
      </c>
      <c r="N9" s="5">
        <f>'TX Calculations'!N435*1000000000000</f>
        <v>45595557758952.508</v>
      </c>
      <c r="O9" s="5">
        <f>'TX Calculations'!O435*1000000000000</f>
        <v>46324682059304.906</v>
      </c>
      <c r="P9" s="5">
        <f>'TX Calculations'!P435*1000000000000</f>
        <v>47053806359656.391</v>
      </c>
      <c r="Q9" s="5">
        <f>'TX Calculations'!Q435*1000000000000</f>
        <v>47782930660008.336</v>
      </c>
      <c r="R9" s="5">
        <f>'TX Calculations'!R435*1000000000000</f>
        <v>48512054960360.727</v>
      </c>
      <c r="S9" s="5">
        <f>'TX Calculations'!S435*1000000000000</f>
        <v>49241179260712.672</v>
      </c>
      <c r="T9" s="5">
        <f>'TX Calculations'!T435*1000000000000</f>
        <v>49970303561064.156</v>
      </c>
      <c r="U9" s="5">
        <f>'TX Calculations'!U435*1000000000000</f>
        <v>50699427861416.555</v>
      </c>
      <c r="V9" s="5">
        <f>'TX Calculations'!V435*1000000000000</f>
        <v>51428552161768.039</v>
      </c>
      <c r="W9" s="5">
        <f>'TX Calculations'!W435*1000000000000</f>
        <v>52157676462120.438</v>
      </c>
      <c r="X9" s="5">
        <f>'TX Calculations'!X435*1000000000000</f>
        <v>52886800762471.922</v>
      </c>
      <c r="Y9" s="5">
        <f>'TX Calculations'!Y435*1000000000000</f>
        <v>53615925062823.859</v>
      </c>
      <c r="Z9" s="5">
        <f>'TX Calculations'!Z435*1000000000000</f>
        <v>54345049363176.258</v>
      </c>
      <c r="AA9" s="5">
        <f>'TX Calculations'!AA435*1000000000000</f>
        <v>55074173663528.203</v>
      </c>
      <c r="AB9" s="5">
        <f>'TX Calculations'!AB435*1000000000000</f>
        <v>55803297963879.688</v>
      </c>
      <c r="AC9" s="5">
        <f>'TX Calculations'!AC435*1000000000000</f>
        <v>56532422264232.078</v>
      </c>
      <c r="AD9" s="5">
        <f>'TX Calculations'!AD435*1000000000000</f>
        <v>57261546564583.57</v>
      </c>
      <c r="AE9" s="5">
        <f>'TX Calculations'!AE435*1000000000000</f>
        <v>57990670864935.961</v>
      </c>
      <c r="AF9" s="5">
        <f>'TX Calculations'!AF435*1000000000000</f>
        <v>58719795165287.906</v>
      </c>
      <c r="AG9" s="5">
        <f>'TX Calculations'!AG435*1000000000000</f>
        <v>59448919465639.391</v>
      </c>
      <c r="AH9" s="5">
        <f>'TX Calculations'!AH435*1000000000000</f>
        <v>60178043765991.789</v>
      </c>
      <c r="AI9" s="5">
        <f>'TX Calculations'!AI435*1000000000000</f>
        <v>60907168066342.82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E4" sqref="E4"/>
    </sheetView>
  </sheetViews>
  <sheetFormatPr defaultColWidth="9.1328125" defaultRowHeight="14.25"/>
  <cols>
    <col min="1" max="1" width="39.796875" style="5" customWidth="1"/>
    <col min="2" max="16384" width="9.1328125" style="5"/>
  </cols>
  <sheetData>
    <row r="1" spans="1:35">
      <c r="A1" s="1" t="s">
        <v>574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c r="A2" s="5" t="s">
        <v>566</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5">
      <c r="A3" s="5" t="s">
        <v>567</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row>
    <row r="4" spans="1:35">
      <c r="A4" s="5" t="s">
        <v>568</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row>
    <row r="5" spans="1:35">
      <c r="A5" s="5" t="s">
        <v>569</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row>
    <row r="6" spans="1:35">
      <c r="A6" s="5" t="s">
        <v>570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c r="A7" s="5" t="s">
        <v>571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c r="A8" s="5" t="s">
        <v>572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c r="A9" s="5" t="s">
        <v>573</v>
      </c>
      <c r="B9" s="5">
        <v>0</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B95" workbookViewId="0">
      <selection activeCell="N120" sqref="N120"/>
    </sheetView>
  </sheetViews>
  <sheetFormatPr defaultColWidth="9.1328125" defaultRowHeight="14.25"/>
  <cols>
    <col min="1" max="1" width="20.796875" style="5" hidden="1" customWidth="1"/>
    <col min="2" max="2" width="45.6640625" style="5" customWidth="1"/>
    <col min="3" max="3" width="12" style="5" bestFit="1" customWidth="1"/>
    <col min="4" max="13" width="9.1328125" style="5"/>
    <col min="14" max="14" width="11.796875" style="5" bestFit="1" customWidth="1"/>
    <col min="15" max="16384" width="9.1328125" style="5"/>
  </cols>
  <sheetData>
    <row r="1" spans="2:37" ht="15" customHeight="1">
      <c r="B1" s="57" t="s">
        <v>289</v>
      </c>
    </row>
    <row r="2" spans="2:37" ht="15" customHeight="1">
      <c r="B2" s="53" t="s">
        <v>153</v>
      </c>
    </row>
    <row r="3" spans="2:37" ht="15" customHeight="1">
      <c r="B3" s="53" t="s">
        <v>153</v>
      </c>
      <c r="C3" s="50" t="s">
        <v>153</v>
      </c>
      <c r="D3" s="50" t="s">
        <v>153</v>
      </c>
      <c r="E3" s="50" t="s">
        <v>153</v>
      </c>
      <c r="F3" s="50" t="s">
        <v>153</v>
      </c>
      <c r="G3" s="50" t="s">
        <v>153</v>
      </c>
      <c r="H3" s="50" t="s">
        <v>153</v>
      </c>
      <c r="I3" s="50" t="s">
        <v>153</v>
      </c>
      <c r="J3" s="50" t="s">
        <v>153</v>
      </c>
      <c r="K3" s="50" t="s">
        <v>153</v>
      </c>
      <c r="L3" s="50" t="s">
        <v>153</v>
      </c>
      <c r="M3" s="50" t="s">
        <v>153</v>
      </c>
      <c r="N3" s="50" t="s">
        <v>153</v>
      </c>
      <c r="O3" s="50" t="s">
        <v>153</v>
      </c>
      <c r="P3" s="50" t="s">
        <v>153</v>
      </c>
      <c r="Q3" s="50" t="s">
        <v>153</v>
      </c>
      <c r="R3" s="50" t="s">
        <v>153</v>
      </c>
      <c r="S3" s="50" t="s">
        <v>153</v>
      </c>
      <c r="T3" s="50" t="s">
        <v>153</v>
      </c>
      <c r="U3" s="50" t="s">
        <v>153</v>
      </c>
      <c r="V3" s="50" t="s">
        <v>153</v>
      </c>
      <c r="W3" s="50" t="s">
        <v>153</v>
      </c>
      <c r="X3" s="50" t="s">
        <v>153</v>
      </c>
      <c r="Y3" s="50" t="s">
        <v>153</v>
      </c>
      <c r="Z3" s="50" t="s">
        <v>153</v>
      </c>
      <c r="AA3" s="50" t="s">
        <v>153</v>
      </c>
      <c r="AB3" s="50" t="s">
        <v>153</v>
      </c>
      <c r="AC3" s="50" t="s">
        <v>153</v>
      </c>
      <c r="AD3" s="50" t="s">
        <v>153</v>
      </c>
      <c r="AE3" s="50" t="s">
        <v>153</v>
      </c>
      <c r="AF3" s="50" t="s">
        <v>153</v>
      </c>
      <c r="AG3" s="50" t="s">
        <v>153</v>
      </c>
      <c r="AH3" s="50" t="s">
        <v>153</v>
      </c>
      <c r="AI3" s="50" t="s">
        <v>153</v>
      </c>
      <c r="AJ3" s="50" t="s">
        <v>153</v>
      </c>
      <c r="AK3" s="50" t="s">
        <v>154</v>
      </c>
    </row>
    <row r="4" spans="2:37" ht="15" customHeight="1" thickBot="1">
      <c r="B4" s="54" t="s">
        <v>290</v>
      </c>
      <c r="C4" s="54">
        <v>2017</v>
      </c>
      <c r="D4" s="54">
        <v>2018</v>
      </c>
      <c r="E4" s="54">
        <v>2019</v>
      </c>
      <c r="F4" s="54">
        <v>2020</v>
      </c>
      <c r="G4" s="54">
        <v>2021</v>
      </c>
      <c r="H4" s="54">
        <v>2022</v>
      </c>
      <c r="I4" s="54">
        <v>2023</v>
      </c>
      <c r="J4" s="54">
        <v>2024</v>
      </c>
      <c r="K4" s="54">
        <v>2025</v>
      </c>
      <c r="L4" s="54">
        <v>2026</v>
      </c>
      <c r="M4" s="54">
        <v>2027</v>
      </c>
      <c r="N4" s="54">
        <v>2028</v>
      </c>
      <c r="O4" s="54">
        <v>2029</v>
      </c>
      <c r="P4" s="54">
        <v>2030</v>
      </c>
      <c r="Q4" s="54">
        <v>2031</v>
      </c>
      <c r="R4" s="54">
        <v>2032</v>
      </c>
      <c r="S4" s="54">
        <v>2033</v>
      </c>
      <c r="T4" s="54">
        <v>2034</v>
      </c>
      <c r="U4" s="54">
        <v>2035</v>
      </c>
      <c r="V4" s="54">
        <v>2036</v>
      </c>
      <c r="W4" s="54">
        <v>2037</v>
      </c>
      <c r="X4" s="54">
        <v>2038</v>
      </c>
      <c r="Y4" s="54">
        <v>2039</v>
      </c>
      <c r="Z4" s="54">
        <v>2040</v>
      </c>
      <c r="AA4" s="54">
        <v>2041</v>
      </c>
      <c r="AB4" s="54">
        <v>2042</v>
      </c>
      <c r="AC4" s="54">
        <v>2043</v>
      </c>
      <c r="AD4" s="54">
        <v>2044</v>
      </c>
      <c r="AE4" s="54">
        <v>2045</v>
      </c>
      <c r="AF4" s="54">
        <v>2046</v>
      </c>
      <c r="AG4" s="54">
        <v>2047</v>
      </c>
      <c r="AH4" s="54">
        <v>2048</v>
      </c>
      <c r="AI4" s="54">
        <v>2049</v>
      </c>
      <c r="AJ4" s="54">
        <v>2050</v>
      </c>
      <c r="AK4" s="54">
        <v>2050</v>
      </c>
    </row>
    <row r="5" spans="2:37" ht="15" customHeight="1" thickTop="1"/>
    <row r="6" spans="2:37" ht="15" customHeight="1">
      <c r="B6" s="59" t="s">
        <v>291</v>
      </c>
      <c r="C6" s="65">
        <v>477.04278599999998</v>
      </c>
      <c r="D6" s="65">
        <v>486.10140999999999</v>
      </c>
      <c r="E6" s="65">
        <v>462.25711100000001</v>
      </c>
      <c r="F6" s="65">
        <v>472.71850599999999</v>
      </c>
      <c r="G6" s="65">
        <v>469.25531000000001</v>
      </c>
      <c r="H6" s="65">
        <v>467.02038599999997</v>
      </c>
      <c r="I6" s="65">
        <v>464.36389200000002</v>
      </c>
      <c r="J6" s="65">
        <v>458.73458900000003</v>
      </c>
      <c r="K6" s="65">
        <v>454.64410400000003</v>
      </c>
      <c r="L6" s="65">
        <v>451.27090500000003</v>
      </c>
      <c r="M6" s="65">
        <v>449.89889499999998</v>
      </c>
      <c r="N6" s="65">
        <v>447.340912</v>
      </c>
      <c r="O6" s="65">
        <v>444.908905</v>
      </c>
      <c r="P6" s="65">
        <v>442.39779700000003</v>
      </c>
      <c r="Q6" s="65">
        <v>440.44030800000002</v>
      </c>
      <c r="R6" s="65">
        <v>437.76870700000001</v>
      </c>
      <c r="S6" s="65">
        <v>435.72180200000003</v>
      </c>
      <c r="T6" s="65">
        <v>435.01629600000001</v>
      </c>
      <c r="U6" s="65">
        <v>434.552887</v>
      </c>
      <c r="V6" s="65">
        <v>432.56579599999998</v>
      </c>
      <c r="W6" s="65">
        <v>434.32620200000002</v>
      </c>
      <c r="X6" s="65">
        <v>434.756012</v>
      </c>
      <c r="Y6" s="65">
        <v>434.83081099999998</v>
      </c>
      <c r="Z6" s="65">
        <v>434.73831200000001</v>
      </c>
      <c r="AA6" s="65">
        <v>435.45379600000001</v>
      </c>
      <c r="AB6" s="65">
        <v>436.797302</v>
      </c>
      <c r="AC6" s="65">
        <v>437.45431500000001</v>
      </c>
      <c r="AD6" s="65">
        <v>438.435089</v>
      </c>
      <c r="AE6" s="65">
        <v>439.63799999999998</v>
      </c>
      <c r="AF6" s="65">
        <v>442.36599699999999</v>
      </c>
      <c r="AG6" s="65">
        <v>444.013214</v>
      </c>
      <c r="AH6" s="65">
        <v>446.54458599999998</v>
      </c>
      <c r="AI6" s="65">
        <v>447.479401</v>
      </c>
      <c r="AJ6" s="65">
        <v>449.39428700000002</v>
      </c>
      <c r="AK6" s="66">
        <v>-2.4510000000000001E-3</v>
      </c>
    </row>
    <row r="7" spans="2:37">
      <c r="B7" s="59" t="s">
        <v>292</v>
      </c>
    </row>
    <row r="8" spans="2:37">
      <c r="B8" s="59" t="s">
        <v>293</v>
      </c>
      <c r="C8" s="69">
        <v>17.228000999999999</v>
      </c>
      <c r="D8" s="69">
        <v>17.550706999999999</v>
      </c>
      <c r="E8" s="69">
        <v>17.956469999999999</v>
      </c>
      <c r="F8" s="69">
        <v>18.561658999999999</v>
      </c>
      <c r="G8" s="69">
        <v>18.240932000000001</v>
      </c>
      <c r="H8" s="69">
        <v>18.305565000000001</v>
      </c>
      <c r="I8" s="69">
        <v>18.216169000000001</v>
      </c>
      <c r="J8" s="69">
        <v>18.124077</v>
      </c>
      <c r="K8" s="69">
        <v>17.872724999999999</v>
      </c>
      <c r="L8" s="69">
        <v>17.733559</v>
      </c>
      <c r="M8" s="69">
        <v>17.790877999999999</v>
      </c>
      <c r="N8" s="69">
        <v>17.809593</v>
      </c>
      <c r="O8" s="69">
        <v>17.797143999999999</v>
      </c>
      <c r="P8" s="69">
        <v>17.750488000000001</v>
      </c>
      <c r="Q8" s="69">
        <v>17.771865999999999</v>
      </c>
      <c r="R8" s="69">
        <v>17.749244999999998</v>
      </c>
      <c r="S8" s="69">
        <v>17.673556999999999</v>
      </c>
      <c r="T8" s="69">
        <v>17.654147999999999</v>
      </c>
      <c r="U8" s="69">
        <v>17.645510000000002</v>
      </c>
      <c r="V8" s="69">
        <v>17.653233</v>
      </c>
      <c r="W8" s="69">
        <v>17.691224999999999</v>
      </c>
      <c r="X8" s="69">
        <v>17.700320999999999</v>
      </c>
      <c r="Y8" s="69">
        <v>17.623837000000002</v>
      </c>
      <c r="Z8" s="69">
        <v>17.614208000000001</v>
      </c>
      <c r="AA8" s="69">
        <v>17.632324000000001</v>
      </c>
      <c r="AB8" s="69">
        <v>17.719449999999998</v>
      </c>
      <c r="AC8" s="69">
        <v>17.687442999999998</v>
      </c>
      <c r="AD8" s="69">
        <v>17.742956</v>
      </c>
      <c r="AE8" s="69">
        <v>17.742044</v>
      </c>
      <c r="AF8" s="69">
        <v>17.822962</v>
      </c>
      <c r="AG8" s="69">
        <v>17.809488000000002</v>
      </c>
      <c r="AH8" s="69">
        <v>17.825657</v>
      </c>
      <c r="AI8" s="69">
        <v>17.699687999999998</v>
      </c>
      <c r="AJ8" s="69">
        <v>17.697797999999999</v>
      </c>
      <c r="AK8" s="66">
        <v>2.61E-4</v>
      </c>
    </row>
    <row r="10" spans="2:37" ht="15" customHeight="1">
      <c r="B10" s="59" t="s">
        <v>294</v>
      </c>
    </row>
    <row r="11" spans="2:37" ht="15" customHeight="1">
      <c r="B11" s="72" t="s">
        <v>13</v>
      </c>
      <c r="C11" s="70">
        <v>1.5529999999999999</v>
      </c>
      <c r="D11" s="70">
        <v>1.5529999999999999</v>
      </c>
      <c r="E11" s="70">
        <v>1.5529999999999999</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c r="AA11" s="70">
        <v>0</v>
      </c>
      <c r="AB11" s="70">
        <v>0</v>
      </c>
      <c r="AC11" s="70">
        <v>0</v>
      </c>
      <c r="AD11" s="70">
        <v>0</v>
      </c>
      <c r="AE11" s="70">
        <v>0</v>
      </c>
      <c r="AF11" s="70">
        <v>0</v>
      </c>
      <c r="AG11" s="70">
        <v>0</v>
      </c>
      <c r="AH11" s="70">
        <v>0</v>
      </c>
      <c r="AI11" s="70">
        <v>0</v>
      </c>
      <c r="AJ11" s="70">
        <v>0</v>
      </c>
      <c r="AK11" s="62" t="s">
        <v>164</v>
      </c>
    </row>
    <row r="12" spans="2:37" ht="15" customHeight="1">
      <c r="B12" s="72" t="s">
        <v>12</v>
      </c>
      <c r="C12" s="70">
        <v>2.2949999999999999</v>
      </c>
      <c r="D12" s="70">
        <v>2.2949999999999999</v>
      </c>
      <c r="E12" s="70">
        <v>2.2949999999999999</v>
      </c>
      <c r="F12" s="70">
        <v>0</v>
      </c>
      <c r="G12" s="70">
        <v>0</v>
      </c>
      <c r="H12" s="70">
        <v>0</v>
      </c>
      <c r="I12" s="70">
        <v>0</v>
      </c>
      <c r="J12" s="70">
        <v>0</v>
      </c>
      <c r="K12" s="70">
        <v>0</v>
      </c>
      <c r="L12" s="70">
        <v>0</v>
      </c>
      <c r="M12" s="70">
        <v>0</v>
      </c>
      <c r="N12" s="70">
        <v>0</v>
      </c>
      <c r="O12" s="70">
        <v>0</v>
      </c>
      <c r="P12" s="70">
        <v>0</v>
      </c>
      <c r="Q12" s="70">
        <v>0</v>
      </c>
      <c r="R12" s="70">
        <v>0</v>
      </c>
      <c r="S12" s="70">
        <v>0</v>
      </c>
      <c r="T12" s="70">
        <v>0</v>
      </c>
      <c r="U12" s="70">
        <v>0</v>
      </c>
      <c r="V12" s="70">
        <v>0</v>
      </c>
      <c r="W12" s="70">
        <v>0</v>
      </c>
      <c r="X12" s="70">
        <v>0</v>
      </c>
      <c r="Y12" s="70">
        <v>0</v>
      </c>
      <c r="Z12" s="70">
        <v>0</v>
      </c>
      <c r="AA12" s="70">
        <v>0</v>
      </c>
      <c r="AB12" s="70">
        <v>0</v>
      </c>
      <c r="AC12" s="70">
        <v>0</v>
      </c>
      <c r="AD12" s="70">
        <v>0</v>
      </c>
      <c r="AE12" s="70">
        <v>0</v>
      </c>
      <c r="AF12" s="70">
        <v>0</v>
      </c>
      <c r="AG12" s="70">
        <v>0</v>
      </c>
      <c r="AH12" s="70">
        <v>0</v>
      </c>
      <c r="AI12" s="70">
        <v>0</v>
      </c>
      <c r="AJ12" s="70">
        <v>0</v>
      </c>
      <c r="AK12" s="62" t="s">
        <v>164</v>
      </c>
    </row>
    <row r="13" spans="2:37" ht="15" customHeight="1">
      <c r="B13" s="72" t="s">
        <v>14</v>
      </c>
      <c r="C13" s="70">
        <v>9.6280000000000001</v>
      </c>
      <c r="D13" s="70">
        <v>9.6280000000000001</v>
      </c>
      <c r="E13" s="70">
        <v>9.6280000000000001</v>
      </c>
      <c r="F13" s="70">
        <v>0</v>
      </c>
      <c r="G13" s="70">
        <v>0</v>
      </c>
      <c r="H13" s="70">
        <v>0</v>
      </c>
      <c r="I13" s="70">
        <v>0</v>
      </c>
      <c r="J13" s="70">
        <v>0</v>
      </c>
      <c r="K13" s="70">
        <v>0</v>
      </c>
      <c r="L13" s="70">
        <v>0</v>
      </c>
      <c r="M13" s="70">
        <v>0</v>
      </c>
      <c r="N13" s="70">
        <v>0</v>
      </c>
      <c r="O13" s="70">
        <v>0</v>
      </c>
      <c r="P13" s="70">
        <v>0</v>
      </c>
      <c r="Q13" s="70">
        <v>0</v>
      </c>
      <c r="R13" s="70">
        <v>0</v>
      </c>
      <c r="S13" s="70">
        <v>0</v>
      </c>
      <c r="T13" s="70">
        <v>0</v>
      </c>
      <c r="U13" s="70">
        <v>0</v>
      </c>
      <c r="V13" s="70">
        <v>0</v>
      </c>
      <c r="W13" s="70">
        <v>0</v>
      </c>
      <c r="X13" s="70">
        <v>0</v>
      </c>
      <c r="Y13" s="70">
        <v>0</v>
      </c>
      <c r="Z13" s="70">
        <v>0</v>
      </c>
      <c r="AA13" s="70">
        <v>0</v>
      </c>
      <c r="AB13" s="70">
        <v>0</v>
      </c>
      <c r="AC13" s="70">
        <v>0</v>
      </c>
      <c r="AD13" s="70">
        <v>0</v>
      </c>
      <c r="AE13" s="70">
        <v>0</v>
      </c>
      <c r="AF13" s="70">
        <v>0</v>
      </c>
      <c r="AG13" s="70">
        <v>0</v>
      </c>
      <c r="AH13" s="70">
        <v>0</v>
      </c>
      <c r="AI13" s="70">
        <v>0</v>
      </c>
      <c r="AJ13" s="70">
        <v>0</v>
      </c>
      <c r="AK13" s="62" t="s">
        <v>164</v>
      </c>
    </row>
    <row r="14" spans="2:37" ht="15" customHeight="1">
      <c r="B14" s="72" t="s">
        <v>15</v>
      </c>
      <c r="C14" s="70">
        <v>527.828979</v>
      </c>
      <c r="D14" s="70">
        <v>527.828979</v>
      </c>
      <c r="E14" s="70">
        <v>527.828979</v>
      </c>
      <c r="F14" s="70">
        <v>381.09463499999998</v>
      </c>
      <c r="G14" s="70">
        <v>369.54522700000001</v>
      </c>
      <c r="H14" s="70">
        <v>357.17898600000001</v>
      </c>
      <c r="I14" s="70">
        <v>346.91030899999998</v>
      </c>
      <c r="J14" s="70">
        <v>333.87948599999999</v>
      </c>
      <c r="K14" s="70">
        <v>330.89709499999998</v>
      </c>
      <c r="L14" s="70">
        <v>321.93670700000001</v>
      </c>
      <c r="M14" s="70">
        <v>317.36334199999999</v>
      </c>
      <c r="N14" s="70">
        <v>320.72894300000002</v>
      </c>
      <c r="O14" s="70">
        <v>323.46853599999997</v>
      </c>
      <c r="P14" s="70">
        <v>322.56362899999999</v>
      </c>
      <c r="Q14" s="70">
        <v>335.11086999999998</v>
      </c>
      <c r="R14" s="70">
        <v>334.81295799999998</v>
      </c>
      <c r="S14" s="70">
        <v>338.01730300000003</v>
      </c>
      <c r="T14" s="70">
        <v>349.32910199999998</v>
      </c>
      <c r="U14" s="70">
        <v>351.129547</v>
      </c>
      <c r="V14" s="70">
        <v>357.54629499999999</v>
      </c>
      <c r="W14" s="70">
        <v>370.16168199999998</v>
      </c>
      <c r="X14" s="70">
        <v>372.70224000000002</v>
      </c>
      <c r="Y14" s="70">
        <v>376.39077800000001</v>
      </c>
      <c r="Z14" s="70">
        <v>381.97335800000002</v>
      </c>
      <c r="AA14" s="70">
        <v>384.73959400000001</v>
      </c>
      <c r="AB14" s="70">
        <v>389.76919600000002</v>
      </c>
      <c r="AC14" s="70">
        <v>395.469086</v>
      </c>
      <c r="AD14" s="70">
        <v>402.20483400000001</v>
      </c>
      <c r="AE14" s="70">
        <v>404.15927099999999</v>
      </c>
      <c r="AF14" s="70">
        <v>412.932953</v>
      </c>
      <c r="AG14" s="70">
        <v>418.10235599999999</v>
      </c>
      <c r="AH14" s="70">
        <v>420.51187099999999</v>
      </c>
      <c r="AI14" s="70">
        <v>419.92010499999998</v>
      </c>
      <c r="AJ14" s="70">
        <v>424.434326</v>
      </c>
      <c r="AK14" s="62">
        <v>-6.79E-3</v>
      </c>
    </row>
    <row r="15" spans="2:37" ht="15" customHeight="1">
      <c r="B15" s="72" t="s">
        <v>23</v>
      </c>
      <c r="C15" s="70">
        <v>1484.7150879999999</v>
      </c>
      <c r="D15" s="70">
        <v>1538.8170170000001</v>
      </c>
      <c r="E15" s="70">
        <v>1533</v>
      </c>
      <c r="F15" s="70">
        <v>1698.105591</v>
      </c>
      <c r="G15" s="70">
        <v>1650.0679929999999</v>
      </c>
      <c r="H15" s="70">
        <v>1595.97522</v>
      </c>
      <c r="I15" s="70">
        <v>1572.0251459999999</v>
      </c>
      <c r="J15" s="70">
        <v>1545.298828</v>
      </c>
      <c r="K15" s="70">
        <v>1534.666138</v>
      </c>
      <c r="L15" s="70">
        <v>1490.081177</v>
      </c>
      <c r="M15" s="70">
        <v>1477.2320560000001</v>
      </c>
      <c r="N15" s="70">
        <v>1498.8654790000001</v>
      </c>
      <c r="O15" s="70">
        <v>1467.3881839999999</v>
      </c>
      <c r="P15" s="70">
        <v>1476.9948730000001</v>
      </c>
      <c r="Q15" s="70">
        <v>1501.7739260000001</v>
      </c>
      <c r="R15" s="70">
        <v>1490.578125</v>
      </c>
      <c r="S15" s="70">
        <v>1468.7146</v>
      </c>
      <c r="T15" s="70">
        <v>1511.593018</v>
      </c>
      <c r="U15" s="70">
        <v>1503.7937010000001</v>
      </c>
      <c r="V15" s="70">
        <v>1475.2890620000001</v>
      </c>
      <c r="W15" s="70">
        <v>1543.9261469999999</v>
      </c>
      <c r="X15" s="70">
        <v>1540.496582</v>
      </c>
      <c r="Y15" s="70">
        <v>1537.2016599999999</v>
      </c>
      <c r="Z15" s="70">
        <v>1556.186768</v>
      </c>
      <c r="AA15" s="70">
        <v>1564.395264</v>
      </c>
      <c r="AB15" s="70">
        <v>1543.641846</v>
      </c>
      <c r="AC15" s="70">
        <v>1564.987427</v>
      </c>
      <c r="AD15" s="70">
        <v>1592.6865230000001</v>
      </c>
      <c r="AE15" s="70">
        <v>1614.6571039999999</v>
      </c>
      <c r="AF15" s="70">
        <v>1633.6633300000001</v>
      </c>
      <c r="AG15" s="70">
        <v>1642.69165</v>
      </c>
      <c r="AH15" s="70">
        <v>1647.2193600000001</v>
      </c>
      <c r="AI15" s="70">
        <v>1635.9807129999999</v>
      </c>
      <c r="AJ15" s="70">
        <v>1641.2717290000001</v>
      </c>
      <c r="AK15" s="62">
        <v>2.016E-3</v>
      </c>
    </row>
    <row r="16" spans="2:37" ht="15" customHeight="1">
      <c r="B16" s="72" t="s">
        <v>16</v>
      </c>
      <c r="C16" s="70">
        <v>5.7610000000000001</v>
      </c>
      <c r="D16" s="70">
        <v>5.7610000000000001</v>
      </c>
      <c r="E16" s="70">
        <v>5.7610000000000001</v>
      </c>
      <c r="F16" s="70">
        <v>5.7403149999999998</v>
      </c>
      <c r="G16" s="70">
        <v>13.880179999999999</v>
      </c>
      <c r="H16" s="70">
        <v>20.10004</v>
      </c>
      <c r="I16" s="70">
        <v>26.580870000000001</v>
      </c>
      <c r="J16" s="70">
        <v>16.602115999999999</v>
      </c>
      <c r="K16" s="70">
        <v>1.1588000000000001</v>
      </c>
      <c r="L16" s="70">
        <v>17.524881000000001</v>
      </c>
      <c r="M16" s="70">
        <v>23.596509999999999</v>
      </c>
      <c r="N16" s="70">
        <v>27.685549000000002</v>
      </c>
      <c r="O16" s="70">
        <v>20.777595999999999</v>
      </c>
      <c r="P16" s="70">
        <v>15.487730000000001</v>
      </c>
      <c r="Q16" s="70">
        <v>0</v>
      </c>
      <c r="R16" s="70">
        <v>3.3459000000000003E-2</v>
      </c>
      <c r="S16" s="70">
        <v>0</v>
      </c>
      <c r="T16" s="70">
        <v>0</v>
      </c>
      <c r="U16" s="70">
        <v>0</v>
      </c>
      <c r="V16" s="70">
        <v>0</v>
      </c>
      <c r="W16" s="70">
        <v>0</v>
      </c>
      <c r="X16" s="70">
        <v>3.1949999999999999E-2</v>
      </c>
      <c r="Y16" s="70">
        <v>2.0237999999999999E-2</v>
      </c>
      <c r="Z16" s="70">
        <v>0</v>
      </c>
      <c r="AA16" s="70">
        <v>0</v>
      </c>
      <c r="AB16" s="70">
        <v>0</v>
      </c>
      <c r="AC16" s="70">
        <v>0</v>
      </c>
      <c r="AD16" s="70">
        <v>0</v>
      </c>
      <c r="AE16" s="70">
        <v>0</v>
      </c>
      <c r="AF16" s="70">
        <v>1.0768E-2</v>
      </c>
      <c r="AG16" s="70">
        <v>1.5454000000000001E-2</v>
      </c>
      <c r="AH16" s="70">
        <v>2.6991999999999999E-2</v>
      </c>
      <c r="AI16" s="70">
        <v>2.4375000000000001E-2</v>
      </c>
      <c r="AJ16" s="70">
        <v>2.0191000000000001E-2</v>
      </c>
      <c r="AK16" s="62">
        <v>-0.16194800000000001</v>
      </c>
    </row>
    <row r="17" spans="2:37" ht="15" customHeight="1">
      <c r="B17" s="72" t="s">
        <v>81</v>
      </c>
      <c r="C17" s="70">
        <v>2031.7810059999999</v>
      </c>
      <c r="D17" s="70">
        <v>2085.883057</v>
      </c>
      <c r="E17" s="70">
        <v>2080.0659179999998</v>
      </c>
      <c r="F17" s="70">
        <v>2084.9404300000001</v>
      </c>
      <c r="G17" s="70">
        <v>2033.493408</v>
      </c>
      <c r="H17" s="70">
        <v>1973.2542719999999</v>
      </c>
      <c r="I17" s="70">
        <v>1945.5162350000001</v>
      </c>
      <c r="J17" s="70">
        <v>1895.780518</v>
      </c>
      <c r="K17" s="70">
        <v>1866.7220460000001</v>
      </c>
      <c r="L17" s="70">
        <v>1829.542725</v>
      </c>
      <c r="M17" s="70">
        <v>1818.1920170000001</v>
      </c>
      <c r="N17" s="70">
        <v>1847.280029</v>
      </c>
      <c r="O17" s="70">
        <v>1811.6342770000001</v>
      </c>
      <c r="P17" s="70">
        <v>1815.046143</v>
      </c>
      <c r="Q17" s="70">
        <v>1836.8847659999999</v>
      </c>
      <c r="R17" s="70">
        <v>1825.424561</v>
      </c>
      <c r="S17" s="70">
        <v>1806.7319339999999</v>
      </c>
      <c r="T17" s="70">
        <v>1860.9221190000001</v>
      </c>
      <c r="U17" s="70">
        <v>1854.9232179999999</v>
      </c>
      <c r="V17" s="70">
        <v>1832.835327</v>
      </c>
      <c r="W17" s="70">
        <v>1914.0878909999999</v>
      </c>
      <c r="X17" s="70">
        <v>1913.2308350000001</v>
      </c>
      <c r="Y17" s="70">
        <v>1913.6126710000001</v>
      </c>
      <c r="Z17" s="70">
        <v>1938.1601559999999</v>
      </c>
      <c r="AA17" s="70">
        <v>1949.134888</v>
      </c>
      <c r="AB17" s="70">
        <v>1933.4110109999999</v>
      </c>
      <c r="AC17" s="70">
        <v>1960.456543</v>
      </c>
      <c r="AD17" s="70">
        <v>1994.891357</v>
      </c>
      <c r="AE17" s="70">
        <v>2018.8164059999999</v>
      </c>
      <c r="AF17" s="70">
        <v>2046.6070560000001</v>
      </c>
      <c r="AG17" s="70">
        <v>2060.8093260000001</v>
      </c>
      <c r="AH17" s="70">
        <v>2067.7583009999998</v>
      </c>
      <c r="AI17" s="70">
        <v>2055.9252929999998</v>
      </c>
      <c r="AJ17" s="70">
        <v>2065.726318</v>
      </c>
      <c r="AK17" s="62">
        <v>-3.0299999999999999E-4</v>
      </c>
    </row>
    <row r="18" spans="2:37" ht="15" customHeight="1">
      <c r="B18" s="60" t="s">
        <v>17</v>
      </c>
      <c r="C18" s="70">
        <v>1477.841064</v>
      </c>
      <c r="D18" s="70">
        <v>1458.953857</v>
      </c>
      <c r="E18" s="70">
        <v>1443.5708010000001</v>
      </c>
      <c r="F18" s="70">
        <v>1503.6347659999999</v>
      </c>
      <c r="G18" s="70">
        <v>1494.849365</v>
      </c>
      <c r="H18" s="70">
        <v>1507.3222659999999</v>
      </c>
      <c r="I18" s="70">
        <v>1516.399414</v>
      </c>
      <c r="J18" s="70">
        <v>1501.2585449999999</v>
      </c>
      <c r="K18" s="70">
        <v>1490.4748540000001</v>
      </c>
      <c r="L18" s="70">
        <v>1497.544678</v>
      </c>
      <c r="M18" s="70">
        <v>1427.8542480000001</v>
      </c>
      <c r="N18" s="70">
        <v>1453.719482</v>
      </c>
      <c r="O18" s="70">
        <v>1403.5823969999999</v>
      </c>
      <c r="P18" s="70">
        <v>1411.8294679999999</v>
      </c>
      <c r="Q18" s="70">
        <v>1393.601318</v>
      </c>
      <c r="R18" s="70">
        <v>1387.4726559999999</v>
      </c>
      <c r="S18" s="70">
        <v>1376.3201899999999</v>
      </c>
      <c r="T18" s="70">
        <v>1393.6176760000001</v>
      </c>
      <c r="U18" s="70">
        <v>1409.8443600000001</v>
      </c>
      <c r="V18" s="70">
        <v>1413.5104980000001</v>
      </c>
      <c r="W18" s="70">
        <v>1415.6099850000001</v>
      </c>
      <c r="X18" s="70">
        <v>1432.585327</v>
      </c>
      <c r="Y18" s="70">
        <v>1431.0893550000001</v>
      </c>
      <c r="Z18" s="70">
        <v>1444.054077</v>
      </c>
      <c r="AA18" s="70">
        <v>1452.4626459999999</v>
      </c>
      <c r="AB18" s="70">
        <v>1436.8176269999999</v>
      </c>
      <c r="AC18" s="70">
        <v>1464.9995120000001</v>
      </c>
      <c r="AD18" s="70">
        <v>1457.420044</v>
      </c>
      <c r="AE18" s="70">
        <v>1525.833862</v>
      </c>
      <c r="AF18" s="70">
        <v>1499.611328</v>
      </c>
      <c r="AG18" s="70">
        <v>1507.556274</v>
      </c>
      <c r="AH18" s="70">
        <v>1514.6473390000001</v>
      </c>
      <c r="AI18" s="70">
        <v>1540.548828</v>
      </c>
      <c r="AJ18" s="70">
        <v>1541.2818600000001</v>
      </c>
      <c r="AK18" s="62">
        <v>1.717E-3</v>
      </c>
    </row>
    <row r="19" spans="2:37" ht="15" customHeight="1">
      <c r="B19" s="60" t="s">
        <v>24</v>
      </c>
      <c r="C19" s="70">
        <v>1286.2730710000001</v>
      </c>
      <c r="D19" s="70">
        <v>1121.4530030000001</v>
      </c>
      <c r="E19" s="70">
        <v>1111.1560059999999</v>
      </c>
      <c r="F19" s="70">
        <v>1224.316284</v>
      </c>
      <c r="G19" s="70">
        <v>1216.0892329999999</v>
      </c>
      <c r="H19" s="70">
        <v>1238.864014</v>
      </c>
      <c r="I19" s="70">
        <v>1242.8732910000001</v>
      </c>
      <c r="J19" s="70">
        <v>1239.8220209999999</v>
      </c>
      <c r="K19" s="70">
        <v>1238.5980219999999</v>
      </c>
      <c r="L19" s="70">
        <v>1240.612061</v>
      </c>
      <c r="M19" s="70">
        <v>1205.877686</v>
      </c>
      <c r="N19" s="70">
        <v>1207.2138669999999</v>
      </c>
      <c r="O19" s="70">
        <v>1188.897217</v>
      </c>
      <c r="P19" s="70">
        <v>1192.074341</v>
      </c>
      <c r="Q19" s="70">
        <v>1178.767456</v>
      </c>
      <c r="R19" s="70">
        <v>1175.8544919999999</v>
      </c>
      <c r="S19" s="70">
        <v>1175.8035890000001</v>
      </c>
      <c r="T19" s="70">
        <v>1167.43335</v>
      </c>
      <c r="U19" s="70">
        <v>1181.132202</v>
      </c>
      <c r="V19" s="70">
        <v>1195.2983400000001</v>
      </c>
      <c r="W19" s="70">
        <v>1172.8358149999999</v>
      </c>
      <c r="X19" s="70">
        <v>1183.794922</v>
      </c>
      <c r="Y19" s="70">
        <v>1179.272095</v>
      </c>
      <c r="Z19" s="70">
        <v>1185.630371</v>
      </c>
      <c r="AA19" s="70">
        <v>1188.4338379999999</v>
      </c>
      <c r="AB19" s="70">
        <v>1191.472534</v>
      </c>
      <c r="AC19" s="70">
        <v>1200.4077150000001</v>
      </c>
      <c r="AD19" s="70">
        <v>1189.474121</v>
      </c>
      <c r="AE19" s="70">
        <v>1229.6499020000001</v>
      </c>
      <c r="AF19" s="70">
        <v>1208.8408199999999</v>
      </c>
      <c r="AG19" s="70">
        <v>1211.969971</v>
      </c>
      <c r="AH19" s="70">
        <v>1215.7791749999999</v>
      </c>
      <c r="AI19" s="70">
        <v>1230.760986</v>
      </c>
      <c r="AJ19" s="70">
        <v>1229.905518</v>
      </c>
      <c r="AK19" s="62">
        <v>2.8890000000000001E-3</v>
      </c>
    </row>
    <row r="20" spans="2:37" ht="15" customHeight="1">
      <c r="B20" s="60" t="s">
        <v>25</v>
      </c>
      <c r="C20" s="70">
        <v>191.567993</v>
      </c>
      <c r="D20" s="70">
        <v>337.50082400000002</v>
      </c>
      <c r="E20" s="70">
        <v>332.41473400000001</v>
      </c>
      <c r="F20" s="70">
        <v>279.318512</v>
      </c>
      <c r="G20" s="70">
        <v>278.76010100000002</v>
      </c>
      <c r="H20" s="70">
        <v>268.45822099999998</v>
      </c>
      <c r="I20" s="70">
        <v>273.52615400000002</v>
      </c>
      <c r="J20" s="70">
        <v>261.43658399999998</v>
      </c>
      <c r="K20" s="70">
        <v>251.876846</v>
      </c>
      <c r="L20" s="70">
        <v>256.93261699999999</v>
      </c>
      <c r="M20" s="70">
        <v>221.976562</v>
      </c>
      <c r="N20" s="70">
        <v>246.50563</v>
      </c>
      <c r="O20" s="70">
        <v>214.68524199999999</v>
      </c>
      <c r="P20" s="70">
        <v>219.755157</v>
      </c>
      <c r="Q20" s="70">
        <v>214.83386200000001</v>
      </c>
      <c r="R20" s="70">
        <v>211.61821</v>
      </c>
      <c r="S20" s="70">
        <v>200.51664700000001</v>
      </c>
      <c r="T20" s="70">
        <v>226.18428</v>
      </c>
      <c r="U20" s="70">
        <v>228.71212800000001</v>
      </c>
      <c r="V20" s="70">
        <v>218.21220400000001</v>
      </c>
      <c r="W20" s="70">
        <v>242.77420000000001</v>
      </c>
      <c r="X20" s="70">
        <v>248.79037500000001</v>
      </c>
      <c r="Y20" s="70">
        <v>251.817215</v>
      </c>
      <c r="Z20" s="70">
        <v>258.42364500000002</v>
      </c>
      <c r="AA20" s="70">
        <v>264.028839</v>
      </c>
      <c r="AB20" s="70">
        <v>245.34513899999999</v>
      </c>
      <c r="AC20" s="70">
        <v>264.59179699999999</v>
      </c>
      <c r="AD20" s="70">
        <v>267.94592299999999</v>
      </c>
      <c r="AE20" s="70">
        <v>296.18396000000001</v>
      </c>
      <c r="AF20" s="70">
        <v>290.77047700000003</v>
      </c>
      <c r="AG20" s="70">
        <v>295.58630399999998</v>
      </c>
      <c r="AH20" s="70">
        <v>298.86816399999998</v>
      </c>
      <c r="AI20" s="70">
        <v>309.78784200000001</v>
      </c>
      <c r="AJ20" s="70">
        <v>311.37631199999998</v>
      </c>
      <c r="AK20" s="62">
        <v>-2.5149999999999999E-3</v>
      </c>
    </row>
    <row r="21" spans="2:37" ht="15" customHeight="1">
      <c r="B21" s="60" t="s">
        <v>26</v>
      </c>
      <c r="C21" s="70">
        <v>0</v>
      </c>
      <c r="D21" s="70">
        <v>0</v>
      </c>
      <c r="E21" s="70">
        <v>0</v>
      </c>
      <c r="F21" s="70">
        <v>0</v>
      </c>
      <c r="G21" s="70">
        <v>0</v>
      </c>
      <c r="H21" s="70">
        <v>0</v>
      </c>
      <c r="I21" s="70">
        <v>0</v>
      </c>
      <c r="J21" s="70">
        <v>0</v>
      </c>
      <c r="K21" s="70">
        <v>0</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70">
        <v>0</v>
      </c>
      <c r="AC21" s="70">
        <v>0</v>
      </c>
      <c r="AD21" s="70">
        <v>0</v>
      </c>
      <c r="AE21" s="70">
        <v>0</v>
      </c>
      <c r="AF21" s="70">
        <v>0</v>
      </c>
      <c r="AG21" s="70">
        <v>0</v>
      </c>
      <c r="AH21" s="70">
        <v>0</v>
      </c>
      <c r="AI21" s="70">
        <v>0</v>
      </c>
      <c r="AJ21" s="70">
        <v>0</v>
      </c>
      <c r="AK21" s="62" t="s">
        <v>164</v>
      </c>
    </row>
    <row r="22" spans="2:37" ht="15" customHeight="1">
      <c r="B22" s="60" t="s">
        <v>27</v>
      </c>
      <c r="C22" s="70">
        <v>24</v>
      </c>
      <c r="D22" s="70">
        <v>24</v>
      </c>
      <c r="E22" s="70">
        <v>24</v>
      </c>
      <c r="F22" s="70">
        <v>30.971101999999998</v>
      </c>
      <c r="G22" s="70">
        <v>30.971101999999998</v>
      </c>
      <c r="H22" s="70">
        <v>30.971101999999998</v>
      </c>
      <c r="I22" s="70">
        <v>30.971101999999998</v>
      </c>
      <c r="J22" s="70">
        <v>30.971101999999998</v>
      </c>
      <c r="K22" s="70">
        <v>30.971101999999998</v>
      </c>
      <c r="L22" s="70">
        <v>30.971101999999998</v>
      </c>
      <c r="M22" s="70">
        <v>30.971101999999998</v>
      </c>
      <c r="N22" s="70">
        <v>30.971101999999998</v>
      </c>
      <c r="O22" s="70">
        <v>30.971101999999998</v>
      </c>
      <c r="P22" s="70">
        <v>30.971101999999998</v>
      </c>
      <c r="Q22" s="70">
        <v>30.971101999999998</v>
      </c>
      <c r="R22" s="70">
        <v>30.971101999999998</v>
      </c>
      <c r="S22" s="70">
        <v>30.971101999999998</v>
      </c>
      <c r="T22" s="70">
        <v>30.971101999999998</v>
      </c>
      <c r="U22" s="70">
        <v>30.971101999999998</v>
      </c>
      <c r="V22" s="70">
        <v>30.971101999999998</v>
      </c>
      <c r="W22" s="70">
        <v>30.971101999999998</v>
      </c>
      <c r="X22" s="70">
        <v>30.971101999999998</v>
      </c>
      <c r="Y22" s="70">
        <v>30.971101999999998</v>
      </c>
      <c r="Z22" s="70">
        <v>30.971101999999998</v>
      </c>
      <c r="AA22" s="70">
        <v>30.971101999999998</v>
      </c>
      <c r="AB22" s="70">
        <v>30.971101999999998</v>
      </c>
      <c r="AC22" s="70">
        <v>30.971101999999998</v>
      </c>
      <c r="AD22" s="70">
        <v>30.971101999999998</v>
      </c>
      <c r="AE22" s="70">
        <v>30.971101999999998</v>
      </c>
      <c r="AF22" s="70">
        <v>30.971101999999998</v>
      </c>
      <c r="AG22" s="70">
        <v>30.971101999999998</v>
      </c>
      <c r="AH22" s="70">
        <v>30.971101999999998</v>
      </c>
      <c r="AI22" s="70">
        <v>30.971101999999998</v>
      </c>
      <c r="AJ22" s="70">
        <v>30.971101999999998</v>
      </c>
      <c r="AK22" s="62">
        <v>8.0009999999999994E-3</v>
      </c>
    </row>
    <row r="23" spans="2:37" ht="15" customHeight="1">
      <c r="B23" s="60" t="s">
        <v>117</v>
      </c>
      <c r="C23" s="70">
        <v>783.99597200000005</v>
      </c>
      <c r="D23" s="70">
        <v>782.41796899999997</v>
      </c>
      <c r="E23" s="70">
        <v>802.76788299999998</v>
      </c>
      <c r="F23" s="70">
        <v>837.63122599999997</v>
      </c>
      <c r="G23" s="70">
        <v>838.94726600000001</v>
      </c>
      <c r="H23" s="70">
        <v>840.18133499999999</v>
      </c>
      <c r="I23" s="70">
        <v>841.316956</v>
      </c>
      <c r="J23" s="70">
        <v>844.53350799999998</v>
      </c>
      <c r="K23" s="70">
        <v>845.60510299999999</v>
      </c>
      <c r="L23" s="70">
        <v>845.90173300000004</v>
      </c>
      <c r="M23" s="70">
        <v>846.117615</v>
      </c>
      <c r="N23" s="70">
        <v>851.53051800000003</v>
      </c>
      <c r="O23" s="70">
        <v>852.830872</v>
      </c>
      <c r="P23" s="70">
        <v>855.32501200000002</v>
      </c>
      <c r="Q23" s="70">
        <v>846.38635299999999</v>
      </c>
      <c r="R23" s="70">
        <v>847.30737299999998</v>
      </c>
      <c r="S23" s="70">
        <v>848.44592299999999</v>
      </c>
      <c r="T23" s="70">
        <v>848.72808799999996</v>
      </c>
      <c r="U23" s="70">
        <v>848.77362100000005</v>
      </c>
      <c r="V23" s="70">
        <v>848.77972399999999</v>
      </c>
      <c r="W23" s="70">
        <v>848.77179000000001</v>
      </c>
      <c r="X23" s="70">
        <v>848.74652100000003</v>
      </c>
      <c r="Y23" s="70">
        <v>848.72582999999997</v>
      </c>
      <c r="Z23" s="70">
        <v>848.69793700000002</v>
      </c>
      <c r="AA23" s="70">
        <v>848.70318599999996</v>
      </c>
      <c r="AB23" s="70">
        <v>844.51190199999996</v>
      </c>
      <c r="AC23" s="70">
        <v>840.10711700000002</v>
      </c>
      <c r="AD23" s="70">
        <v>838.93585199999995</v>
      </c>
      <c r="AE23" s="70">
        <v>837.24615500000004</v>
      </c>
      <c r="AF23" s="70">
        <v>837.23962400000005</v>
      </c>
      <c r="AG23" s="70">
        <v>837.22717299999999</v>
      </c>
      <c r="AH23" s="70">
        <v>837.21575900000005</v>
      </c>
      <c r="AI23" s="70">
        <v>837.20562700000005</v>
      </c>
      <c r="AJ23" s="70">
        <v>837.19421399999999</v>
      </c>
      <c r="AK23" s="62">
        <v>2.117E-3</v>
      </c>
    </row>
    <row r="24" spans="2:37">
      <c r="B24" s="60" t="s">
        <v>22</v>
      </c>
      <c r="C24" s="70">
        <v>202.70098899999999</v>
      </c>
      <c r="D24" s="70">
        <v>202.70098899999999</v>
      </c>
      <c r="E24" s="70">
        <v>202.70098899999999</v>
      </c>
      <c r="F24" s="70">
        <v>208.61547899999999</v>
      </c>
      <c r="G24" s="70">
        <v>204.761292</v>
      </c>
      <c r="H24" s="70">
        <v>201.33343500000001</v>
      </c>
      <c r="I24" s="70">
        <v>197.59556599999999</v>
      </c>
      <c r="J24" s="70">
        <v>192.152771</v>
      </c>
      <c r="K24" s="70">
        <v>188.99897799999999</v>
      </c>
      <c r="L24" s="70">
        <v>183.82186899999999</v>
      </c>
      <c r="M24" s="70">
        <v>179.40068099999999</v>
      </c>
      <c r="N24" s="70">
        <v>181.03556800000001</v>
      </c>
      <c r="O24" s="70">
        <v>177.91980000000001</v>
      </c>
      <c r="P24" s="70">
        <v>178.38232400000001</v>
      </c>
      <c r="Q24" s="70">
        <v>180.61944600000001</v>
      </c>
      <c r="R24" s="70">
        <v>179.868179</v>
      </c>
      <c r="S24" s="70">
        <v>178.195099</v>
      </c>
      <c r="T24" s="70">
        <v>182.56556699999999</v>
      </c>
      <c r="U24" s="70">
        <v>182.07647700000001</v>
      </c>
      <c r="V24" s="70">
        <v>181.93002300000001</v>
      </c>
      <c r="W24" s="70">
        <v>185.526352</v>
      </c>
      <c r="X24" s="70">
        <v>186.070999</v>
      </c>
      <c r="Y24" s="70">
        <v>185.614532</v>
      </c>
      <c r="Z24" s="70">
        <v>188.38061500000001</v>
      </c>
      <c r="AA24" s="70">
        <v>189.07450900000001</v>
      </c>
      <c r="AB24" s="70">
        <v>189.08633399999999</v>
      </c>
      <c r="AC24" s="70">
        <v>191.91108700000001</v>
      </c>
      <c r="AD24" s="70">
        <v>194.19776899999999</v>
      </c>
      <c r="AE24" s="70">
        <v>197.605118</v>
      </c>
      <c r="AF24" s="70">
        <v>199.14454699999999</v>
      </c>
      <c r="AG24" s="70">
        <v>200.590317</v>
      </c>
      <c r="AH24" s="70">
        <v>201.08874499999999</v>
      </c>
      <c r="AI24" s="70">
        <v>201.22792100000001</v>
      </c>
      <c r="AJ24" s="70">
        <v>201.59368900000001</v>
      </c>
      <c r="AK24" s="62">
        <v>-1.7100000000000001E-4</v>
      </c>
    </row>
    <row r="25" spans="2:37" ht="15" customHeight="1">
      <c r="B25" s="59" t="s">
        <v>1</v>
      </c>
      <c r="C25" s="69">
        <v>4520.3188479999999</v>
      </c>
      <c r="D25" s="69">
        <v>4553.9560549999997</v>
      </c>
      <c r="E25" s="69">
        <v>4553.1054690000001</v>
      </c>
      <c r="F25" s="69">
        <v>4665.7929690000001</v>
      </c>
      <c r="G25" s="69">
        <v>4603.0224609999996</v>
      </c>
      <c r="H25" s="69">
        <v>4553.0625</v>
      </c>
      <c r="I25" s="69">
        <v>4531.7993159999996</v>
      </c>
      <c r="J25" s="69">
        <v>4464.6967770000001</v>
      </c>
      <c r="K25" s="69">
        <v>4422.7719729999999</v>
      </c>
      <c r="L25" s="69">
        <v>4387.7822269999997</v>
      </c>
      <c r="M25" s="69">
        <v>4302.5356449999999</v>
      </c>
      <c r="N25" s="69">
        <v>4364.5371089999999</v>
      </c>
      <c r="O25" s="69">
        <v>4276.9389650000003</v>
      </c>
      <c r="P25" s="69">
        <v>4291.5541990000002</v>
      </c>
      <c r="Q25" s="69">
        <v>4288.4628910000001</v>
      </c>
      <c r="R25" s="69">
        <v>4271.0439450000003</v>
      </c>
      <c r="S25" s="69">
        <v>4240.6645509999998</v>
      </c>
      <c r="T25" s="69">
        <v>4316.8046880000002</v>
      </c>
      <c r="U25" s="69">
        <v>4326.5888670000004</v>
      </c>
      <c r="V25" s="69">
        <v>4308.0263670000004</v>
      </c>
      <c r="W25" s="69">
        <v>4394.9672849999997</v>
      </c>
      <c r="X25" s="69">
        <v>4411.6049800000001</v>
      </c>
      <c r="Y25" s="69">
        <v>4410.013672</v>
      </c>
      <c r="Z25" s="69">
        <v>4450.2641599999997</v>
      </c>
      <c r="AA25" s="69">
        <v>4470.3466799999997</v>
      </c>
      <c r="AB25" s="69">
        <v>4434.7978519999997</v>
      </c>
      <c r="AC25" s="69">
        <v>4488.4453119999998</v>
      </c>
      <c r="AD25" s="69">
        <v>4516.4165039999998</v>
      </c>
      <c r="AE25" s="69">
        <v>4610.4731449999999</v>
      </c>
      <c r="AF25" s="69">
        <v>4613.5737300000001</v>
      </c>
      <c r="AG25" s="69">
        <v>4637.154297</v>
      </c>
      <c r="AH25" s="69">
        <v>4651.6816410000001</v>
      </c>
      <c r="AI25" s="69">
        <v>4665.8789059999999</v>
      </c>
      <c r="AJ25" s="69">
        <v>4676.767578</v>
      </c>
      <c r="AK25" s="66">
        <v>8.3199999999999995E-4</v>
      </c>
    </row>
    <row r="26" spans="2:37" ht="15" customHeight="1"/>
    <row r="27" spans="2:37" ht="15" customHeight="1">
      <c r="B27" s="59" t="s">
        <v>295</v>
      </c>
    </row>
    <row r="28" spans="2:37" ht="15" customHeight="1">
      <c r="B28" s="59" t="s">
        <v>296</v>
      </c>
      <c r="C28" s="65">
        <v>259.37240600000001</v>
      </c>
      <c r="D28" s="65">
        <v>260.65329000000003</v>
      </c>
      <c r="E28" s="65">
        <v>258.61788899999999</v>
      </c>
      <c r="F28" s="65">
        <v>257.28796399999999</v>
      </c>
      <c r="G28" s="65">
        <v>251.658051</v>
      </c>
      <c r="H28" s="65">
        <v>247.417282</v>
      </c>
      <c r="I28" s="65">
        <v>245.32650799999999</v>
      </c>
      <c r="J28" s="65">
        <v>239.953217</v>
      </c>
      <c r="K28" s="65">
        <v>236.851517</v>
      </c>
      <c r="L28" s="65">
        <v>234.27929700000001</v>
      </c>
      <c r="M28" s="65">
        <v>228.90933200000001</v>
      </c>
      <c r="N28" s="65">
        <v>232.63301100000001</v>
      </c>
      <c r="O28" s="65">
        <v>227.438751</v>
      </c>
      <c r="P28" s="65">
        <v>228.035538</v>
      </c>
      <c r="Q28" s="65">
        <v>228.79719499999999</v>
      </c>
      <c r="R28" s="65">
        <v>227.43112199999999</v>
      </c>
      <c r="S28" s="65">
        <v>225.27879300000001</v>
      </c>
      <c r="T28" s="65">
        <v>230.55967699999999</v>
      </c>
      <c r="U28" s="65">
        <v>230.87243699999999</v>
      </c>
      <c r="V28" s="65">
        <v>229.47953799999999</v>
      </c>
      <c r="W28" s="65">
        <v>235.65463299999999</v>
      </c>
      <c r="X28" s="65">
        <v>236.49684099999999</v>
      </c>
      <c r="Y28" s="65">
        <v>236.317734</v>
      </c>
      <c r="Z28" s="65">
        <v>238.840744</v>
      </c>
      <c r="AA28" s="65">
        <v>239.89790300000001</v>
      </c>
      <c r="AB28" s="65">
        <v>238.18208300000001</v>
      </c>
      <c r="AC28" s="65">
        <v>241.595337</v>
      </c>
      <c r="AD28" s="65">
        <v>243.73996</v>
      </c>
      <c r="AE28" s="65">
        <v>249.34321600000001</v>
      </c>
      <c r="AF28" s="65">
        <v>249.967422</v>
      </c>
      <c r="AG28" s="65">
        <v>251.43589800000001</v>
      </c>
      <c r="AH28" s="65">
        <v>252.312332</v>
      </c>
      <c r="AI28" s="65">
        <v>252.75473</v>
      </c>
      <c r="AJ28" s="65">
        <v>253.49095199999999</v>
      </c>
      <c r="AK28" s="66">
        <v>-8.7000000000000001E-4</v>
      </c>
    </row>
    <row r="29" spans="2:37" ht="15" customHeight="1"/>
    <row r="30" spans="2:37" ht="15" customHeight="1">
      <c r="B30" s="59" t="s">
        <v>297</v>
      </c>
    </row>
    <row r="31" spans="2:37" ht="15" customHeight="1">
      <c r="B31" s="59" t="s">
        <v>298</v>
      </c>
    </row>
    <row r="32" spans="2:37" ht="15" customHeight="1">
      <c r="B32" s="60" t="s">
        <v>30</v>
      </c>
      <c r="C32" s="70">
        <v>1.5529999999999999</v>
      </c>
      <c r="D32" s="70">
        <v>1.5529999999999999</v>
      </c>
      <c r="E32" s="70">
        <v>1.5529999999999999</v>
      </c>
      <c r="F32" s="70">
        <v>0</v>
      </c>
      <c r="G32" s="70">
        <v>0</v>
      </c>
      <c r="H32" s="70">
        <v>0</v>
      </c>
      <c r="I32" s="70">
        <v>0</v>
      </c>
      <c r="J32" s="70">
        <v>0</v>
      </c>
      <c r="K32" s="70">
        <v>0</v>
      </c>
      <c r="L32" s="70">
        <v>0</v>
      </c>
      <c r="M32" s="70">
        <v>0</v>
      </c>
      <c r="N32" s="70">
        <v>0</v>
      </c>
      <c r="O32" s="70">
        <v>0</v>
      </c>
      <c r="P32" s="70">
        <v>0</v>
      </c>
      <c r="Q32" s="70">
        <v>0</v>
      </c>
      <c r="R32" s="70">
        <v>0</v>
      </c>
      <c r="S32" s="70">
        <v>0</v>
      </c>
      <c r="T32" s="70">
        <v>0</v>
      </c>
      <c r="U32" s="70">
        <v>0</v>
      </c>
      <c r="V32" s="70">
        <v>0</v>
      </c>
      <c r="W32" s="70">
        <v>0</v>
      </c>
      <c r="X32" s="70">
        <v>0</v>
      </c>
      <c r="Y32" s="70">
        <v>0</v>
      </c>
      <c r="Z32" s="70">
        <v>0</v>
      </c>
      <c r="AA32" s="70">
        <v>0</v>
      </c>
      <c r="AB32" s="70">
        <v>0</v>
      </c>
      <c r="AC32" s="70">
        <v>0</v>
      </c>
      <c r="AD32" s="70">
        <v>0</v>
      </c>
      <c r="AE32" s="70">
        <v>0</v>
      </c>
      <c r="AF32" s="70">
        <v>0</v>
      </c>
      <c r="AG32" s="70">
        <v>0</v>
      </c>
      <c r="AH32" s="70">
        <v>0</v>
      </c>
      <c r="AI32" s="70">
        <v>0</v>
      </c>
      <c r="AJ32" s="70">
        <v>0</v>
      </c>
      <c r="AK32" s="62" t="s">
        <v>164</v>
      </c>
    </row>
    <row r="33" spans="2:37" ht="15" customHeight="1">
      <c r="B33" s="60" t="s">
        <v>31</v>
      </c>
      <c r="C33" s="70">
        <v>2.2949999999999999</v>
      </c>
      <c r="D33" s="70">
        <v>2.2949999999999999</v>
      </c>
      <c r="E33" s="70">
        <v>2.2949999999999999</v>
      </c>
      <c r="F33" s="70">
        <v>0</v>
      </c>
      <c r="G33" s="70">
        <v>0</v>
      </c>
      <c r="H33" s="70">
        <v>0</v>
      </c>
      <c r="I33" s="70">
        <v>0</v>
      </c>
      <c r="J33" s="70">
        <v>0</v>
      </c>
      <c r="K33" s="70">
        <v>0</v>
      </c>
      <c r="L33" s="70">
        <v>0</v>
      </c>
      <c r="M33" s="70">
        <v>0</v>
      </c>
      <c r="N33" s="70">
        <v>0</v>
      </c>
      <c r="O33" s="70">
        <v>0</v>
      </c>
      <c r="P33" s="70">
        <v>0</v>
      </c>
      <c r="Q33" s="70">
        <v>0</v>
      </c>
      <c r="R33" s="70">
        <v>0</v>
      </c>
      <c r="S33" s="70">
        <v>0</v>
      </c>
      <c r="T33" s="70">
        <v>0</v>
      </c>
      <c r="U33" s="70">
        <v>0</v>
      </c>
      <c r="V33" s="70">
        <v>0</v>
      </c>
      <c r="W33" s="70">
        <v>0</v>
      </c>
      <c r="X33" s="70">
        <v>0</v>
      </c>
      <c r="Y33" s="70">
        <v>0</v>
      </c>
      <c r="Z33" s="70">
        <v>0</v>
      </c>
      <c r="AA33" s="70">
        <v>0</v>
      </c>
      <c r="AB33" s="70">
        <v>0</v>
      </c>
      <c r="AC33" s="70">
        <v>0</v>
      </c>
      <c r="AD33" s="70">
        <v>0</v>
      </c>
      <c r="AE33" s="70">
        <v>0</v>
      </c>
      <c r="AF33" s="70">
        <v>0</v>
      </c>
      <c r="AG33" s="70">
        <v>0</v>
      </c>
      <c r="AH33" s="70">
        <v>0</v>
      </c>
      <c r="AI33" s="70">
        <v>0</v>
      </c>
      <c r="AJ33" s="70">
        <v>0</v>
      </c>
      <c r="AK33" s="62" t="s">
        <v>164</v>
      </c>
    </row>
    <row r="34" spans="2:37" ht="15" customHeight="1">
      <c r="B34" s="60" t="s">
        <v>299</v>
      </c>
      <c r="C34" s="70">
        <v>9.6280000000000001</v>
      </c>
      <c r="D34" s="70">
        <v>9.6280000000000001</v>
      </c>
      <c r="E34" s="70">
        <v>9.6280000000000001</v>
      </c>
      <c r="F34" s="70">
        <v>0</v>
      </c>
      <c r="G34" s="70">
        <v>0</v>
      </c>
      <c r="H34" s="70">
        <v>0</v>
      </c>
      <c r="I34" s="70">
        <v>0</v>
      </c>
      <c r="J34" s="70">
        <v>0</v>
      </c>
      <c r="K34" s="70">
        <v>0</v>
      </c>
      <c r="L34" s="70">
        <v>0</v>
      </c>
      <c r="M34" s="70">
        <v>0</v>
      </c>
      <c r="N34" s="70">
        <v>0</v>
      </c>
      <c r="O34" s="70">
        <v>0</v>
      </c>
      <c r="P34" s="70">
        <v>0</v>
      </c>
      <c r="Q34" s="70">
        <v>0</v>
      </c>
      <c r="R34" s="70">
        <v>0</v>
      </c>
      <c r="S34" s="70">
        <v>0</v>
      </c>
      <c r="T34" s="70">
        <v>0</v>
      </c>
      <c r="U34" s="70">
        <v>0</v>
      </c>
      <c r="V34" s="70">
        <v>0</v>
      </c>
      <c r="W34" s="70">
        <v>0</v>
      </c>
      <c r="X34" s="70">
        <v>0</v>
      </c>
      <c r="Y34" s="70">
        <v>0</v>
      </c>
      <c r="Z34" s="70">
        <v>0</v>
      </c>
      <c r="AA34" s="70">
        <v>0</v>
      </c>
      <c r="AB34" s="70">
        <v>0</v>
      </c>
      <c r="AC34" s="70">
        <v>0</v>
      </c>
      <c r="AD34" s="70">
        <v>0</v>
      </c>
      <c r="AE34" s="70">
        <v>0</v>
      </c>
      <c r="AF34" s="70">
        <v>0</v>
      </c>
      <c r="AG34" s="70">
        <v>0</v>
      </c>
      <c r="AH34" s="70">
        <v>0</v>
      </c>
      <c r="AI34" s="70">
        <v>0</v>
      </c>
      <c r="AJ34" s="70">
        <v>0</v>
      </c>
      <c r="AK34" s="62" t="s">
        <v>164</v>
      </c>
    </row>
    <row r="35" spans="2:37" ht="15" customHeight="1">
      <c r="B35" s="60" t="s">
        <v>32</v>
      </c>
      <c r="C35" s="70">
        <v>524.52899200000002</v>
      </c>
      <c r="D35" s="70">
        <v>526.17895499999997</v>
      </c>
      <c r="E35" s="70">
        <v>526.17895499999997</v>
      </c>
      <c r="F35" s="70">
        <v>381.09463499999998</v>
      </c>
      <c r="G35" s="70">
        <v>369.54522700000001</v>
      </c>
      <c r="H35" s="70">
        <v>357.17898600000001</v>
      </c>
      <c r="I35" s="70">
        <v>346.91030899999998</v>
      </c>
      <c r="J35" s="70">
        <v>333.87948599999999</v>
      </c>
      <c r="K35" s="70">
        <v>330.89709499999998</v>
      </c>
      <c r="L35" s="70">
        <v>321.93670700000001</v>
      </c>
      <c r="M35" s="70">
        <v>317.36334199999999</v>
      </c>
      <c r="N35" s="70">
        <v>320.72894300000002</v>
      </c>
      <c r="O35" s="70">
        <v>323.46853599999997</v>
      </c>
      <c r="P35" s="70">
        <v>322.56362899999999</v>
      </c>
      <c r="Q35" s="70">
        <v>335.11086999999998</v>
      </c>
      <c r="R35" s="70">
        <v>334.81295799999998</v>
      </c>
      <c r="S35" s="70">
        <v>338.01730300000003</v>
      </c>
      <c r="T35" s="70">
        <v>349.32910199999998</v>
      </c>
      <c r="U35" s="70">
        <v>351.129547</v>
      </c>
      <c r="V35" s="70">
        <v>357.54629499999999</v>
      </c>
      <c r="W35" s="70">
        <v>370.16168199999998</v>
      </c>
      <c r="X35" s="70">
        <v>372.70224000000002</v>
      </c>
      <c r="Y35" s="70">
        <v>376.39077800000001</v>
      </c>
      <c r="Z35" s="70">
        <v>381.97335800000002</v>
      </c>
      <c r="AA35" s="70">
        <v>384.73959400000001</v>
      </c>
      <c r="AB35" s="70">
        <v>389.76919600000002</v>
      </c>
      <c r="AC35" s="70">
        <v>395.469086</v>
      </c>
      <c r="AD35" s="70">
        <v>402.20483400000001</v>
      </c>
      <c r="AE35" s="70">
        <v>404.15927099999999</v>
      </c>
      <c r="AF35" s="70">
        <v>412.932953</v>
      </c>
      <c r="AG35" s="70">
        <v>418.10235599999999</v>
      </c>
      <c r="AH35" s="70">
        <v>420.51187099999999</v>
      </c>
      <c r="AI35" s="70">
        <v>419.92010499999998</v>
      </c>
      <c r="AJ35" s="70">
        <v>424.434326</v>
      </c>
      <c r="AK35" s="62">
        <v>-6.6930000000000002E-3</v>
      </c>
    </row>
    <row r="36" spans="2:37" ht="15" customHeight="1">
      <c r="B36" s="60" t="s">
        <v>300</v>
      </c>
      <c r="C36" s="70">
        <v>1419.0151370000001</v>
      </c>
      <c r="D36" s="70">
        <v>1447.6070560000001</v>
      </c>
      <c r="E36" s="70">
        <v>1441.790039</v>
      </c>
      <c r="F36" s="70">
        <v>1581.3382570000001</v>
      </c>
      <c r="G36" s="70">
        <v>1533.300659</v>
      </c>
      <c r="H36" s="70">
        <v>1479.2078859999999</v>
      </c>
      <c r="I36" s="70">
        <v>1455.2578120000001</v>
      </c>
      <c r="J36" s="70">
        <v>1428.5314940000001</v>
      </c>
      <c r="K36" s="70">
        <v>1417.8988039999999</v>
      </c>
      <c r="L36" s="70">
        <v>1373.3138429999999</v>
      </c>
      <c r="M36" s="70">
        <v>1360.4647219999999</v>
      </c>
      <c r="N36" s="70">
        <v>1382.0981449999999</v>
      </c>
      <c r="O36" s="70">
        <v>1354.1405030000001</v>
      </c>
      <c r="P36" s="70">
        <v>1363.109009</v>
      </c>
      <c r="Q36" s="70">
        <v>1389.0751949999999</v>
      </c>
      <c r="R36" s="70">
        <v>1378.0764160000001</v>
      </c>
      <c r="S36" s="70">
        <v>1357.1539310000001</v>
      </c>
      <c r="T36" s="70">
        <v>1398.66626</v>
      </c>
      <c r="U36" s="70">
        <v>1391.1085210000001</v>
      </c>
      <c r="V36" s="70">
        <v>1362.552124</v>
      </c>
      <c r="W36" s="70">
        <v>1431.958374</v>
      </c>
      <c r="X36" s="70">
        <v>1428.692505</v>
      </c>
      <c r="Y36" s="70">
        <v>1425.8005370000001</v>
      </c>
      <c r="Z36" s="70">
        <v>1444.062134</v>
      </c>
      <c r="AA36" s="70">
        <v>1451.8164059999999</v>
      </c>
      <c r="AB36" s="70">
        <v>1431.9530030000001</v>
      </c>
      <c r="AC36" s="70">
        <v>1452.8498540000001</v>
      </c>
      <c r="AD36" s="70">
        <v>1480.1163329999999</v>
      </c>
      <c r="AE36" s="70">
        <v>1499.754639</v>
      </c>
      <c r="AF36" s="70">
        <v>1518.9101559999999</v>
      </c>
      <c r="AG36" s="70">
        <v>1527.573975</v>
      </c>
      <c r="AH36" s="70">
        <v>1531.5738530000001</v>
      </c>
      <c r="AI36" s="70">
        <v>1519.951294</v>
      </c>
      <c r="AJ36" s="70">
        <v>1524.737061</v>
      </c>
      <c r="AK36" s="62">
        <v>1.624E-3</v>
      </c>
    </row>
    <row r="37" spans="2:37" ht="15" customHeight="1">
      <c r="B37" s="60" t="s">
        <v>33</v>
      </c>
      <c r="C37" s="70">
        <v>5.7610000000000001</v>
      </c>
      <c r="D37" s="70">
        <v>5.7610000000000001</v>
      </c>
      <c r="E37" s="70">
        <v>5.7610000000000001</v>
      </c>
      <c r="F37" s="70">
        <v>5.7403149999999998</v>
      </c>
      <c r="G37" s="70">
        <v>13.880179999999999</v>
      </c>
      <c r="H37" s="70">
        <v>20.10004</v>
      </c>
      <c r="I37" s="70">
        <v>26.580870000000001</v>
      </c>
      <c r="J37" s="70">
        <v>16.602115999999999</v>
      </c>
      <c r="K37" s="70">
        <v>1.1588000000000001</v>
      </c>
      <c r="L37" s="70">
        <v>17.524881000000001</v>
      </c>
      <c r="M37" s="70">
        <v>23.596509999999999</v>
      </c>
      <c r="N37" s="70">
        <v>27.685549000000002</v>
      </c>
      <c r="O37" s="70">
        <v>20.777595999999999</v>
      </c>
      <c r="P37" s="70">
        <v>15.487730000000001</v>
      </c>
      <c r="Q37" s="70">
        <v>0</v>
      </c>
      <c r="R37" s="70">
        <v>3.3459000000000003E-2</v>
      </c>
      <c r="S37" s="70">
        <v>0</v>
      </c>
      <c r="T37" s="70">
        <v>0</v>
      </c>
      <c r="U37" s="70">
        <v>0</v>
      </c>
      <c r="V37" s="70">
        <v>0</v>
      </c>
      <c r="W37" s="70">
        <v>0</v>
      </c>
      <c r="X37" s="70">
        <v>3.1949999999999999E-2</v>
      </c>
      <c r="Y37" s="70">
        <v>2.0237999999999999E-2</v>
      </c>
      <c r="Z37" s="70">
        <v>0</v>
      </c>
      <c r="AA37" s="70">
        <v>0</v>
      </c>
      <c r="AB37" s="70">
        <v>0</v>
      </c>
      <c r="AC37" s="70">
        <v>0</v>
      </c>
      <c r="AD37" s="70">
        <v>0</v>
      </c>
      <c r="AE37" s="70">
        <v>0</v>
      </c>
      <c r="AF37" s="70">
        <v>1.0768E-2</v>
      </c>
      <c r="AG37" s="70">
        <v>1.5454000000000001E-2</v>
      </c>
      <c r="AH37" s="70">
        <v>2.6991999999999999E-2</v>
      </c>
      <c r="AI37" s="70">
        <v>2.4375000000000001E-2</v>
      </c>
      <c r="AJ37" s="70">
        <v>2.0191000000000001E-2</v>
      </c>
      <c r="AK37" s="62">
        <v>-0.16194800000000001</v>
      </c>
    </row>
    <row r="38" spans="2:37" ht="15" customHeight="1">
      <c r="B38" s="60" t="s">
        <v>87</v>
      </c>
      <c r="C38" s="70">
        <v>1962.7811280000001</v>
      </c>
      <c r="D38" s="70">
        <v>1993.0229489999999</v>
      </c>
      <c r="E38" s="70">
        <v>1987.2060550000001</v>
      </c>
      <c r="F38" s="70">
        <v>1968.1732179999999</v>
      </c>
      <c r="G38" s="70">
        <v>1916.7260739999999</v>
      </c>
      <c r="H38" s="70">
        <v>1856.486938</v>
      </c>
      <c r="I38" s="70">
        <v>1828.7489009999999</v>
      </c>
      <c r="J38" s="70">
        <v>1779.0131839999999</v>
      </c>
      <c r="K38" s="70">
        <v>1749.954712</v>
      </c>
      <c r="L38" s="70">
        <v>1712.7753909999999</v>
      </c>
      <c r="M38" s="70">
        <v>1701.424683</v>
      </c>
      <c r="N38" s="70">
        <v>1730.5126949999999</v>
      </c>
      <c r="O38" s="70">
        <v>1698.3865969999999</v>
      </c>
      <c r="P38" s="70">
        <v>1701.1602780000001</v>
      </c>
      <c r="Q38" s="70">
        <v>1724.1860349999999</v>
      </c>
      <c r="R38" s="70">
        <v>1712.9228519999999</v>
      </c>
      <c r="S38" s="70">
        <v>1695.1712649999999</v>
      </c>
      <c r="T38" s="70">
        <v>1747.995361</v>
      </c>
      <c r="U38" s="70">
        <v>1742.2380370000001</v>
      </c>
      <c r="V38" s="70">
        <v>1720.098389</v>
      </c>
      <c r="W38" s="70">
        <v>1802.1201169999999</v>
      </c>
      <c r="X38" s="70">
        <v>1801.4267580000001</v>
      </c>
      <c r="Y38" s="70">
        <v>1802.211548</v>
      </c>
      <c r="Z38" s="70">
        <v>1826.0355219999999</v>
      </c>
      <c r="AA38" s="70">
        <v>1836.55603</v>
      </c>
      <c r="AB38" s="70">
        <v>1821.722168</v>
      </c>
      <c r="AC38" s="70">
        <v>1848.31897</v>
      </c>
      <c r="AD38" s="70">
        <v>1882.3211670000001</v>
      </c>
      <c r="AE38" s="70">
        <v>1903.9139399999999</v>
      </c>
      <c r="AF38" s="70">
        <v>1931.8538820000001</v>
      </c>
      <c r="AG38" s="70">
        <v>1945.6917719999999</v>
      </c>
      <c r="AH38" s="70">
        <v>1952.1126710000001</v>
      </c>
      <c r="AI38" s="70">
        <v>1939.8957519999999</v>
      </c>
      <c r="AJ38" s="70">
        <v>1949.1915280000001</v>
      </c>
      <c r="AK38" s="62">
        <v>-6.9499999999999998E-4</v>
      </c>
    </row>
    <row r="39" spans="2:37" ht="15" customHeight="1">
      <c r="B39" s="60" t="s">
        <v>34</v>
      </c>
      <c r="C39" s="70">
        <v>926.54101600000001</v>
      </c>
      <c r="D39" s="70">
        <v>882.36389199999996</v>
      </c>
      <c r="E39" s="70">
        <v>866.98083499999996</v>
      </c>
      <c r="F39" s="70">
        <v>871.78887899999995</v>
      </c>
      <c r="G39" s="70">
        <v>863.00347899999997</v>
      </c>
      <c r="H39" s="70">
        <v>875.47637899999995</v>
      </c>
      <c r="I39" s="70">
        <v>884.55352800000003</v>
      </c>
      <c r="J39" s="70">
        <v>869.41265899999996</v>
      </c>
      <c r="K39" s="70">
        <v>858.62896699999999</v>
      </c>
      <c r="L39" s="70">
        <v>865.69879200000003</v>
      </c>
      <c r="M39" s="70">
        <v>796.00836200000003</v>
      </c>
      <c r="N39" s="70">
        <v>821.87359600000002</v>
      </c>
      <c r="O39" s="70">
        <v>778.78619400000002</v>
      </c>
      <c r="P39" s="70">
        <v>785.75518799999998</v>
      </c>
      <c r="Q39" s="70">
        <v>774.27941899999996</v>
      </c>
      <c r="R39" s="70">
        <v>768.54528800000003</v>
      </c>
      <c r="S39" s="70">
        <v>759.27770999999996</v>
      </c>
      <c r="T39" s="70">
        <v>773.83886700000005</v>
      </c>
      <c r="U39" s="70">
        <v>790.54968299999996</v>
      </c>
      <c r="V39" s="70">
        <v>794.11193800000001</v>
      </c>
      <c r="W39" s="70">
        <v>797.75219700000002</v>
      </c>
      <c r="X39" s="70">
        <v>815.05542000000003</v>
      </c>
      <c r="Y39" s="70">
        <v>814.36657700000001</v>
      </c>
      <c r="Z39" s="70">
        <v>825.88207999999997</v>
      </c>
      <c r="AA39" s="70">
        <v>833.38085899999999</v>
      </c>
      <c r="AB39" s="70">
        <v>819.51855499999999</v>
      </c>
      <c r="AC39" s="70">
        <v>846.801514</v>
      </c>
      <c r="AD39" s="70">
        <v>838.35546899999997</v>
      </c>
      <c r="AE39" s="70">
        <v>902.09777799999995</v>
      </c>
      <c r="AF39" s="70">
        <v>876.17431599999998</v>
      </c>
      <c r="AG39" s="70">
        <v>883.38903800000003</v>
      </c>
      <c r="AH39" s="70">
        <v>889.42297399999995</v>
      </c>
      <c r="AI39" s="70">
        <v>914.55554199999995</v>
      </c>
      <c r="AJ39" s="70">
        <v>914.27648899999997</v>
      </c>
      <c r="AK39" s="62">
        <v>1.111E-3</v>
      </c>
    </row>
    <row r="40" spans="2:37" ht="15" customHeight="1">
      <c r="B40" s="60" t="s">
        <v>35</v>
      </c>
      <c r="C40" s="70">
        <v>0</v>
      </c>
      <c r="D40" s="70">
        <v>0</v>
      </c>
      <c r="E40" s="70">
        <v>0</v>
      </c>
      <c r="F40" s="70">
        <v>0</v>
      </c>
      <c r="G40" s="70">
        <v>0</v>
      </c>
      <c r="H40" s="70">
        <v>0</v>
      </c>
      <c r="I40" s="70">
        <v>0</v>
      </c>
      <c r="J40" s="70">
        <v>0</v>
      </c>
      <c r="K40" s="70">
        <v>0</v>
      </c>
      <c r="L40" s="70">
        <v>0</v>
      </c>
      <c r="M40" s="70">
        <v>0</v>
      </c>
      <c r="N40" s="70">
        <v>0</v>
      </c>
      <c r="O40" s="70">
        <v>0</v>
      </c>
      <c r="P40" s="70">
        <v>0</v>
      </c>
      <c r="Q40" s="70">
        <v>0</v>
      </c>
      <c r="R40" s="70">
        <v>0</v>
      </c>
      <c r="S40" s="70">
        <v>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62" t="s">
        <v>164</v>
      </c>
    </row>
    <row r="41" spans="2:37" ht="15" customHeight="1">
      <c r="B41" s="60" t="s">
        <v>37</v>
      </c>
      <c r="C41" s="70">
        <v>165.70098899999999</v>
      </c>
      <c r="D41" s="70">
        <v>165.70098899999999</v>
      </c>
      <c r="E41" s="70">
        <v>165.70098899999999</v>
      </c>
      <c r="F41" s="70">
        <v>169.53985599999999</v>
      </c>
      <c r="G41" s="70">
        <v>165.68566899999999</v>
      </c>
      <c r="H41" s="70">
        <v>162.257812</v>
      </c>
      <c r="I41" s="70">
        <v>158.51994300000001</v>
      </c>
      <c r="J41" s="70">
        <v>153.07714799999999</v>
      </c>
      <c r="K41" s="70">
        <v>149.92335499999999</v>
      </c>
      <c r="L41" s="70">
        <v>144.74624600000001</v>
      </c>
      <c r="M41" s="70">
        <v>140.32505800000001</v>
      </c>
      <c r="N41" s="70">
        <v>141.959946</v>
      </c>
      <c r="O41" s="70">
        <v>138.789581</v>
      </c>
      <c r="P41" s="70">
        <v>139.252106</v>
      </c>
      <c r="Q41" s="70">
        <v>141.90339700000001</v>
      </c>
      <c r="R41" s="70">
        <v>141.15213</v>
      </c>
      <c r="S41" s="70">
        <v>139.47905</v>
      </c>
      <c r="T41" s="70">
        <v>143.84951799999999</v>
      </c>
      <c r="U41" s="70">
        <v>143.36042800000001</v>
      </c>
      <c r="V41" s="70">
        <v>143.21397400000001</v>
      </c>
      <c r="W41" s="70">
        <v>146.810303</v>
      </c>
      <c r="X41" s="70">
        <v>147.35495</v>
      </c>
      <c r="Y41" s="70">
        <v>146.898483</v>
      </c>
      <c r="Z41" s="70">
        <v>149.66456600000001</v>
      </c>
      <c r="AA41" s="70">
        <v>150.35845900000001</v>
      </c>
      <c r="AB41" s="70">
        <v>150.370285</v>
      </c>
      <c r="AC41" s="70">
        <v>153.19503800000001</v>
      </c>
      <c r="AD41" s="70">
        <v>155.48172</v>
      </c>
      <c r="AE41" s="70">
        <v>158.88906900000001</v>
      </c>
      <c r="AF41" s="70">
        <v>160.42849699999999</v>
      </c>
      <c r="AG41" s="70">
        <v>161.874268</v>
      </c>
      <c r="AH41" s="70">
        <v>162.37269599999999</v>
      </c>
      <c r="AI41" s="70">
        <v>162.51187100000001</v>
      </c>
      <c r="AJ41" s="70">
        <v>162.87764000000001</v>
      </c>
      <c r="AK41" s="62">
        <v>-5.3700000000000004E-4</v>
      </c>
    </row>
    <row r="42" spans="2:37" ht="15" customHeight="1">
      <c r="B42" s="59" t="s">
        <v>301</v>
      </c>
      <c r="C42" s="69">
        <v>3055.023193</v>
      </c>
      <c r="D42" s="69">
        <v>3041.0876459999999</v>
      </c>
      <c r="E42" s="69">
        <v>3019.8879390000002</v>
      </c>
      <c r="F42" s="69">
        <v>3009.501953</v>
      </c>
      <c r="G42" s="69">
        <v>2945.415039</v>
      </c>
      <c r="H42" s="69">
        <v>2894.2211910000001</v>
      </c>
      <c r="I42" s="69">
        <v>2871.82251</v>
      </c>
      <c r="J42" s="69">
        <v>2801.5029300000001</v>
      </c>
      <c r="K42" s="69">
        <v>2758.5070799999999</v>
      </c>
      <c r="L42" s="69">
        <v>2723.2204590000001</v>
      </c>
      <c r="M42" s="69">
        <v>2637.758057</v>
      </c>
      <c r="N42" s="69">
        <v>2694.3461910000001</v>
      </c>
      <c r="O42" s="69">
        <v>2615.9624020000001</v>
      </c>
      <c r="P42" s="69">
        <v>2626.1677249999998</v>
      </c>
      <c r="Q42" s="69">
        <v>2640.3686520000001</v>
      </c>
      <c r="R42" s="69">
        <v>2622.6203609999998</v>
      </c>
      <c r="S42" s="69">
        <v>2593.9279790000001</v>
      </c>
      <c r="T42" s="69">
        <v>2665.6838379999999</v>
      </c>
      <c r="U42" s="69">
        <v>2676.1479490000002</v>
      </c>
      <c r="V42" s="69">
        <v>2657.4243160000001</v>
      </c>
      <c r="W42" s="69">
        <v>2746.6826169999999</v>
      </c>
      <c r="X42" s="69">
        <v>2763.8371579999998</v>
      </c>
      <c r="Y42" s="69">
        <v>2763.4765619999998</v>
      </c>
      <c r="Z42" s="69">
        <v>2801.5820309999999</v>
      </c>
      <c r="AA42" s="69">
        <v>2820.2954100000002</v>
      </c>
      <c r="AB42" s="69">
        <v>2791.6110840000001</v>
      </c>
      <c r="AC42" s="69">
        <v>2848.3156739999999</v>
      </c>
      <c r="AD42" s="69">
        <v>2876.1584469999998</v>
      </c>
      <c r="AE42" s="69">
        <v>2964.9008789999998</v>
      </c>
      <c r="AF42" s="69">
        <v>2968.4567870000001</v>
      </c>
      <c r="AG42" s="69">
        <v>2990.955078</v>
      </c>
      <c r="AH42" s="69">
        <v>3003.9084469999998</v>
      </c>
      <c r="AI42" s="69">
        <v>3016.963135</v>
      </c>
      <c r="AJ42" s="69">
        <v>3026.345703</v>
      </c>
      <c r="AK42" s="66">
        <v>-1.5200000000000001E-4</v>
      </c>
    </row>
    <row r="43" spans="2:37" ht="15" customHeight="1"/>
    <row r="44" spans="2:37" ht="15" customHeight="1">
      <c r="B44" s="59" t="s">
        <v>302</v>
      </c>
    </row>
    <row r="45" spans="2:37" ht="15" customHeight="1">
      <c r="B45" s="59" t="s">
        <v>303</v>
      </c>
      <c r="C45" s="65">
        <v>216.69177199999999</v>
      </c>
      <c r="D45" s="65">
        <v>215.32577499999999</v>
      </c>
      <c r="E45" s="65">
        <v>213.467545</v>
      </c>
      <c r="F45" s="65">
        <v>207.60076900000001</v>
      </c>
      <c r="G45" s="65">
        <v>202.14239499999999</v>
      </c>
      <c r="H45" s="65">
        <v>197.91606100000001</v>
      </c>
      <c r="I45" s="65">
        <v>195.89359999999999</v>
      </c>
      <c r="J45" s="65">
        <v>190.54757699999999</v>
      </c>
      <c r="K45" s="65">
        <v>187.401794</v>
      </c>
      <c r="L45" s="65">
        <v>184.848175</v>
      </c>
      <c r="M45" s="65">
        <v>179.508881</v>
      </c>
      <c r="N45" s="65">
        <v>183.26658599999999</v>
      </c>
      <c r="O45" s="65">
        <v>178.672394</v>
      </c>
      <c r="P45" s="65">
        <v>179.15741</v>
      </c>
      <c r="Q45" s="65">
        <v>180.42047099999999</v>
      </c>
      <c r="R45" s="65">
        <v>179.11999499999999</v>
      </c>
      <c r="S45" s="65">
        <v>177.142563</v>
      </c>
      <c r="T45" s="65">
        <v>182.25508099999999</v>
      </c>
      <c r="U45" s="65">
        <v>182.641739</v>
      </c>
      <c r="V45" s="65">
        <v>181.245667</v>
      </c>
      <c r="W45" s="65">
        <v>187.621948</v>
      </c>
      <c r="X45" s="65">
        <v>188.516479</v>
      </c>
      <c r="Y45" s="65">
        <v>188.45446799999999</v>
      </c>
      <c r="Z45" s="65">
        <v>190.881653</v>
      </c>
      <c r="AA45" s="65">
        <v>191.91868600000001</v>
      </c>
      <c r="AB45" s="65">
        <v>190.36944600000001</v>
      </c>
      <c r="AC45" s="65">
        <v>193.760696</v>
      </c>
      <c r="AD45" s="65">
        <v>195.851822</v>
      </c>
      <c r="AE45" s="65">
        <v>201.080704</v>
      </c>
      <c r="AF45" s="65">
        <v>201.776184</v>
      </c>
      <c r="AG45" s="65">
        <v>203.22642500000001</v>
      </c>
      <c r="AH45" s="65">
        <v>204.033264</v>
      </c>
      <c r="AI45" s="65">
        <v>204.45323200000001</v>
      </c>
      <c r="AJ45" s="65">
        <v>205.12695299999999</v>
      </c>
      <c r="AK45" s="66">
        <v>-1.5150000000000001E-3</v>
      </c>
    </row>
    <row r="46" spans="2:37" ht="15" customHeight="1"/>
    <row r="47" spans="2:37" ht="15" customHeight="1"/>
    <row r="48" spans="2:37" ht="15" customHeight="1">
      <c r="B48" s="59" t="s">
        <v>304</v>
      </c>
    </row>
    <row r="49" spans="2:37">
      <c r="B49" s="59" t="s">
        <v>305</v>
      </c>
    </row>
    <row r="50" spans="2:37" ht="15" customHeight="1">
      <c r="B50" s="60" t="s">
        <v>30</v>
      </c>
      <c r="C50" s="70">
        <v>0.24697</v>
      </c>
      <c r="D50" s="70">
        <v>0.24242900000000001</v>
      </c>
      <c r="E50" s="70">
        <v>0.23694999999999999</v>
      </c>
      <c r="F50" s="70">
        <v>0</v>
      </c>
      <c r="G50" s="70">
        <v>0</v>
      </c>
      <c r="H50" s="70">
        <v>0</v>
      </c>
      <c r="I50" s="70">
        <v>0</v>
      </c>
      <c r="J50" s="70">
        <v>0</v>
      </c>
      <c r="K50" s="70">
        <v>0</v>
      </c>
      <c r="L50" s="70">
        <v>0</v>
      </c>
      <c r="M50" s="70">
        <v>0</v>
      </c>
      <c r="N50" s="70">
        <v>0</v>
      </c>
      <c r="O50" s="70">
        <v>0</v>
      </c>
      <c r="P50" s="70">
        <v>0</v>
      </c>
      <c r="Q50" s="70">
        <v>0</v>
      </c>
      <c r="R50" s="70">
        <v>0</v>
      </c>
      <c r="S50" s="70">
        <v>0</v>
      </c>
      <c r="T50" s="70">
        <v>0</v>
      </c>
      <c r="U50" s="70">
        <v>0</v>
      </c>
      <c r="V50" s="70">
        <v>0</v>
      </c>
      <c r="W50" s="70">
        <v>0</v>
      </c>
      <c r="X50" s="70">
        <v>0</v>
      </c>
      <c r="Y50" s="70">
        <v>0</v>
      </c>
      <c r="Z50" s="70">
        <v>0</v>
      </c>
      <c r="AA50" s="70">
        <v>0</v>
      </c>
      <c r="AB50" s="70">
        <v>0</v>
      </c>
      <c r="AC50" s="70">
        <v>0</v>
      </c>
      <c r="AD50" s="70">
        <v>0</v>
      </c>
      <c r="AE50" s="70">
        <v>0</v>
      </c>
      <c r="AF50" s="70">
        <v>0</v>
      </c>
      <c r="AG50" s="70">
        <v>0</v>
      </c>
      <c r="AH50" s="70">
        <v>0</v>
      </c>
      <c r="AI50" s="70">
        <v>0</v>
      </c>
      <c r="AJ50" s="70">
        <v>0</v>
      </c>
      <c r="AK50" s="62" t="s">
        <v>164</v>
      </c>
    </row>
    <row r="51" spans="2:37">
      <c r="B51" s="60" t="s">
        <v>31</v>
      </c>
      <c r="C51" s="70">
        <v>0.36496800000000001</v>
      </c>
      <c r="D51" s="70">
        <v>0.35825699999999999</v>
      </c>
      <c r="E51" s="70">
        <v>0.35016199999999997</v>
      </c>
      <c r="F51" s="70">
        <v>0</v>
      </c>
      <c r="G51" s="70">
        <v>0</v>
      </c>
      <c r="H51" s="70">
        <v>0</v>
      </c>
      <c r="I51" s="70">
        <v>0</v>
      </c>
      <c r="J51" s="70">
        <v>0</v>
      </c>
      <c r="K51" s="70">
        <v>0</v>
      </c>
      <c r="L51" s="70">
        <v>0</v>
      </c>
      <c r="M51" s="70">
        <v>0</v>
      </c>
      <c r="N51" s="70">
        <v>0</v>
      </c>
      <c r="O51" s="70">
        <v>0</v>
      </c>
      <c r="P51" s="70">
        <v>0</v>
      </c>
      <c r="Q51" s="70">
        <v>0</v>
      </c>
      <c r="R51" s="70">
        <v>0</v>
      </c>
      <c r="S51" s="70">
        <v>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62" t="s">
        <v>164</v>
      </c>
    </row>
    <row r="52" spans="2:37">
      <c r="B52" s="60" t="s">
        <v>299</v>
      </c>
      <c r="C52" s="70">
        <v>1.5311170000000001</v>
      </c>
      <c r="D52" s="70">
        <v>1.502964</v>
      </c>
      <c r="E52" s="70">
        <v>1.4690019999999999</v>
      </c>
      <c r="F52" s="70">
        <v>0</v>
      </c>
      <c r="G52" s="70">
        <v>0</v>
      </c>
      <c r="H52" s="70">
        <v>0</v>
      </c>
      <c r="I52" s="70">
        <v>0</v>
      </c>
      <c r="J52" s="70">
        <v>0</v>
      </c>
      <c r="K52" s="70">
        <v>0</v>
      </c>
      <c r="L52" s="70">
        <v>0</v>
      </c>
      <c r="M52" s="70">
        <v>0</v>
      </c>
      <c r="N52" s="70">
        <v>0</v>
      </c>
      <c r="O52" s="70">
        <v>0</v>
      </c>
      <c r="P52" s="70">
        <v>0</v>
      </c>
      <c r="Q52" s="70">
        <v>0</v>
      </c>
      <c r="R52" s="70">
        <v>0</v>
      </c>
      <c r="S52" s="70">
        <v>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62" t="s">
        <v>164</v>
      </c>
    </row>
    <row r="53" spans="2:37" ht="15" customHeight="1">
      <c r="B53" s="60" t="s">
        <v>32</v>
      </c>
      <c r="C53" s="70">
        <v>83.414535999999998</v>
      </c>
      <c r="D53" s="70">
        <v>82.138358999999994</v>
      </c>
      <c r="E53" s="70">
        <v>80.282264999999995</v>
      </c>
      <c r="F53" s="70">
        <v>56.250087999999998</v>
      </c>
      <c r="G53" s="70">
        <v>55.504435999999998</v>
      </c>
      <c r="H53" s="70">
        <v>53.457653000000001</v>
      </c>
      <c r="I53" s="70">
        <v>52.175578999999999</v>
      </c>
      <c r="J53" s="70">
        <v>50.470889999999997</v>
      </c>
      <c r="K53" s="70">
        <v>50.723514999999999</v>
      </c>
      <c r="L53" s="70">
        <v>49.737243999999997</v>
      </c>
      <c r="M53" s="70">
        <v>48.872718999999996</v>
      </c>
      <c r="N53" s="70">
        <v>49.339108000000003</v>
      </c>
      <c r="O53" s="70">
        <v>49.795361</v>
      </c>
      <c r="P53" s="70">
        <v>49.786574999999999</v>
      </c>
      <c r="Q53" s="70">
        <v>51.660975999999998</v>
      </c>
      <c r="R53" s="70">
        <v>51.680835999999999</v>
      </c>
      <c r="S53" s="70">
        <v>52.398890999999999</v>
      </c>
      <c r="T53" s="70">
        <v>54.211964000000002</v>
      </c>
      <c r="U53" s="70">
        <v>54.518051</v>
      </c>
      <c r="V53" s="70">
        <v>55.490062999999999</v>
      </c>
      <c r="W53" s="70">
        <v>57.324553999999999</v>
      </c>
      <c r="X53" s="70">
        <v>57.688335000000002</v>
      </c>
      <c r="Y53" s="70">
        <v>58.512096</v>
      </c>
      <c r="Z53" s="70">
        <v>59.412399000000001</v>
      </c>
      <c r="AA53" s="70">
        <v>59.781177999999997</v>
      </c>
      <c r="AB53" s="70">
        <v>60.264899999999997</v>
      </c>
      <c r="AC53" s="70">
        <v>61.256847</v>
      </c>
      <c r="AD53" s="70">
        <v>62.105266999999998</v>
      </c>
      <c r="AE53" s="70">
        <v>62.410263</v>
      </c>
      <c r="AF53" s="70">
        <v>63.475600999999997</v>
      </c>
      <c r="AG53" s="70">
        <v>64.318854999999999</v>
      </c>
      <c r="AH53" s="70">
        <v>64.630843999999996</v>
      </c>
      <c r="AI53" s="70">
        <v>64.999222000000003</v>
      </c>
      <c r="AJ53" s="70">
        <v>65.704993999999999</v>
      </c>
      <c r="AK53" s="62">
        <v>-6.9519999999999998E-3</v>
      </c>
    </row>
    <row r="54" spans="2:37" ht="15" customHeight="1">
      <c r="B54" s="60" t="s">
        <v>300</v>
      </c>
      <c r="C54" s="70">
        <v>225.66243</v>
      </c>
      <c r="D54" s="70">
        <v>225.976471</v>
      </c>
      <c r="E54" s="70">
        <v>219.98251300000001</v>
      </c>
      <c r="F54" s="70">
        <v>233.40768399999999</v>
      </c>
      <c r="G54" s="70">
        <v>230.296539</v>
      </c>
      <c r="H54" s="70">
        <v>221.38755800000001</v>
      </c>
      <c r="I54" s="70">
        <v>218.87190200000001</v>
      </c>
      <c r="J54" s="70">
        <v>215.94395399999999</v>
      </c>
      <c r="K54" s="70">
        <v>217.35098300000001</v>
      </c>
      <c r="L54" s="70">
        <v>212.16854900000001</v>
      </c>
      <c r="M54" s="70">
        <v>209.506271</v>
      </c>
      <c r="N54" s="70">
        <v>212.61407500000001</v>
      </c>
      <c r="O54" s="70">
        <v>208.45895400000001</v>
      </c>
      <c r="P54" s="70">
        <v>210.39112900000001</v>
      </c>
      <c r="Q54" s="70">
        <v>214.14102199999999</v>
      </c>
      <c r="R54" s="70">
        <v>212.71620200000001</v>
      </c>
      <c r="S54" s="70">
        <v>210.38378900000001</v>
      </c>
      <c r="T54" s="70">
        <v>217.05732699999999</v>
      </c>
      <c r="U54" s="70">
        <v>215.99015800000001</v>
      </c>
      <c r="V54" s="70">
        <v>211.46380600000001</v>
      </c>
      <c r="W54" s="70">
        <v>221.758163</v>
      </c>
      <c r="X54" s="70">
        <v>221.13870199999999</v>
      </c>
      <c r="Y54" s="70">
        <v>221.64883399999999</v>
      </c>
      <c r="Z54" s="70">
        <v>224.61041299999999</v>
      </c>
      <c r="AA54" s="70">
        <v>225.584518</v>
      </c>
      <c r="AB54" s="70">
        <v>221.40411399999999</v>
      </c>
      <c r="AC54" s="70">
        <v>225.04161099999999</v>
      </c>
      <c r="AD54" s="70">
        <v>228.547775</v>
      </c>
      <c r="AE54" s="70">
        <v>231.592072</v>
      </c>
      <c r="AF54" s="70">
        <v>233.48521400000001</v>
      </c>
      <c r="AG54" s="70">
        <v>234.994629</v>
      </c>
      <c r="AH54" s="70">
        <v>235.39624000000001</v>
      </c>
      <c r="AI54" s="70">
        <v>235.27250699999999</v>
      </c>
      <c r="AJ54" s="70">
        <v>236.03851299999999</v>
      </c>
      <c r="AK54" s="62">
        <v>1.3619999999999999E-3</v>
      </c>
    </row>
    <row r="55" spans="2:37" ht="15" customHeight="1">
      <c r="B55" s="60" t="s">
        <v>33</v>
      </c>
      <c r="C55" s="70">
        <v>0.916157</v>
      </c>
      <c r="D55" s="70">
        <v>0.899312</v>
      </c>
      <c r="E55" s="70">
        <v>0.87899000000000005</v>
      </c>
      <c r="F55" s="70">
        <v>0.84727799999999998</v>
      </c>
      <c r="G55" s="70">
        <v>2.0847560000000001</v>
      </c>
      <c r="H55" s="70">
        <v>3.0082979999999999</v>
      </c>
      <c r="I55" s="70">
        <v>3.9977830000000001</v>
      </c>
      <c r="J55" s="70">
        <v>2.5096590000000001</v>
      </c>
      <c r="K55" s="70">
        <v>0.17763300000000001</v>
      </c>
      <c r="L55" s="70">
        <v>2.707487</v>
      </c>
      <c r="M55" s="70">
        <v>3.6337709999999999</v>
      </c>
      <c r="N55" s="70">
        <v>4.2589860000000002</v>
      </c>
      <c r="O55" s="70">
        <v>3.1985420000000002</v>
      </c>
      <c r="P55" s="70">
        <v>2.3904770000000002</v>
      </c>
      <c r="Q55" s="70">
        <v>0</v>
      </c>
      <c r="R55" s="70">
        <v>5.1650000000000003E-3</v>
      </c>
      <c r="S55" s="70">
        <v>0</v>
      </c>
      <c r="T55" s="70">
        <v>0</v>
      </c>
      <c r="U55" s="70">
        <v>0</v>
      </c>
      <c r="V55" s="70">
        <v>0</v>
      </c>
      <c r="W55" s="70">
        <v>0</v>
      </c>
      <c r="X55" s="70">
        <v>4.9449999999999997E-3</v>
      </c>
      <c r="Y55" s="70">
        <v>3.1459999999999999E-3</v>
      </c>
      <c r="Z55" s="70">
        <v>0</v>
      </c>
      <c r="AA55" s="70">
        <v>0</v>
      </c>
      <c r="AB55" s="70">
        <v>0</v>
      </c>
      <c r="AC55" s="70">
        <v>0</v>
      </c>
      <c r="AD55" s="70">
        <v>0</v>
      </c>
      <c r="AE55" s="70">
        <v>0</v>
      </c>
      <c r="AF55" s="70">
        <v>1.655E-3</v>
      </c>
      <c r="AG55" s="70">
        <v>2.3770000000000002E-3</v>
      </c>
      <c r="AH55" s="70">
        <v>4.1489999999999999E-3</v>
      </c>
      <c r="AI55" s="70">
        <v>3.7729999999999999E-3</v>
      </c>
      <c r="AJ55" s="70">
        <v>3.1259999999999999E-3</v>
      </c>
      <c r="AK55" s="62">
        <v>-0.16216700000000001</v>
      </c>
    </row>
    <row r="56" spans="2:37" ht="15" customHeight="1">
      <c r="B56" s="60" t="s">
        <v>87</v>
      </c>
      <c r="C56" s="70">
        <v>312.13619999999997</v>
      </c>
      <c r="D56" s="70">
        <v>311.11779799999999</v>
      </c>
      <c r="E56" s="70">
        <v>303.19988999999998</v>
      </c>
      <c r="F56" s="70">
        <v>290.505066</v>
      </c>
      <c r="G56" s="70">
        <v>287.88571200000001</v>
      </c>
      <c r="H56" s="70">
        <v>277.85351600000001</v>
      </c>
      <c r="I56" s="70">
        <v>275.04525799999999</v>
      </c>
      <c r="J56" s="70">
        <v>268.92450000000002</v>
      </c>
      <c r="K56" s="70">
        <v>268.25213600000001</v>
      </c>
      <c r="L56" s="70">
        <v>264.61328099999997</v>
      </c>
      <c r="M56" s="70">
        <v>262.01275600000002</v>
      </c>
      <c r="N56" s="70">
        <v>266.21215799999999</v>
      </c>
      <c r="O56" s="70">
        <v>261.45285000000001</v>
      </c>
      <c r="P56" s="70">
        <v>262.56817599999999</v>
      </c>
      <c r="Q56" s="70">
        <v>265.80200200000002</v>
      </c>
      <c r="R56" s="70">
        <v>264.40219100000002</v>
      </c>
      <c r="S56" s="70">
        <v>262.78268400000002</v>
      </c>
      <c r="T56" s="70">
        <v>271.26928700000002</v>
      </c>
      <c r="U56" s="70">
        <v>270.50820900000002</v>
      </c>
      <c r="V56" s="70">
        <v>266.95385700000003</v>
      </c>
      <c r="W56" s="70">
        <v>279.08270299999998</v>
      </c>
      <c r="X56" s="70">
        <v>278.83197000000001</v>
      </c>
      <c r="Y56" s="70">
        <v>280.164062</v>
      </c>
      <c r="Z56" s="70">
        <v>284.02282700000001</v>
      </c>
      <c r="AA56" s="70">
        <v>285.36569200000002</v>
      </c>
      <c r="AB56" s="70">
        <v>281.66900600000002</v>
      </c>
      <c r="AC56" s="70">
        <v>286.29846199999997</v>
      </c>
      <c r="AD56" s="70">
        <v>290.65304600000002</v>
      </c>
      <c r="AE56" s="70">
        <v>294.002319</v>
      </c>
      <c r="AF56" s="70">
        <v>296.96246300000001</v>
      </c>
      <c r="AG56" s="70">
        <v>299.31585699999999</v>
      </c>
      <c r="AH56" s="70">
        <v>300.03125</v>
      </c>
      <c r="AI56" s="70">
        <v>300.27551299999999</v>
      </c>
      <c r="AJ56" s="70">
        <v>301.74661300000002</v>
      </c>
      <c r="AK56" s="62">
        <v>-9.5500000000000001E-4</v>
      </c>
    </row>
    <row r="57" spans="2:37" ht="15" customHeight="1">
      <c r="B57" s="60" t="s">
        <v>34</v>
      </c>
      <c r="C57" s="70">
        <v>147.345505</v>
      </c>
      <c r="D57" s="70">
        <v>137.74006700000001</v>
      </c>
      <c r="E57" s="70">
        <v>132.280441</v>
      </c>
      <c r="F57" s="70">
        <v>128.67723100000001</v>
      </c>
      <c r="G57" s="70">
        <v>129.620193</v>
      </c>
      <c r="H57" s="70">
        <v>131.02929700000001</v>
      </c>
      <c r="I57" s="70">
        <v>133.03753699999999</v>
      </c>
      <c r="J57" s="70">
        <v>131.42475899999999</v>
      </c>
      <c r="K57" s="70">
        <v>131.62001000000001</v>
      </c>
      <c r="L57" s="70">
        <v>133.745148</v>
      </c>
      <c r="M57" s="70">
        <v>122.58219099999999</v>
      </c>
      <c r="N57" s="70">
        <v>126.43233499999999</v>
      </c>
      <c r="O57" s="70">
        <v>119.88782500000001</v>
      </c>
      <c r="P57" s="70">
        <v>121.27858000000001</v>
      </c>
      <c r="Q57" s="70">
        <v>119.363579</v>
      </c>
      <c r="R57" s="70">
        <v>118.6306</v>
      </c>
      <c r="S57" s="70">
        <v>117.701988</v>
      </c>
      <c r="T57" s="70">
        <v>120.09111799999999</v>
      </c>
      <c r="U57" s="70">
        <v>122.744522</v>
      </c>
      <c r="V57" s="70">
        <v>123.243675</v>
      </c>
      <c r="W57" s="70">
        <v>123.54273999999999</v>
      </c>
      <c r="X57" s="70">
        <v>126.157516</v>
      </c>
      <c r="Y57" s="70">
        <v>126.597939</v>
      </c>
      <c r="Z57" s="70">
        <v>128.45826700000001</v>
      </c>
      <c r="AA57" s="70">
        <v>129.491455</v>
      </c>
      <c r="AB57" s="70">
        <v>126.711403</v>
      </c>
      <c r="AC57" s="70">
        <v>131.16674800000001</v>
      </c>
      <c r="AD57" s="70">
        <v>129.452179</v>
      </c>
      <c r="AE57" s="70">
        <v>139.30190999999999</v>
      </c>
      <c r="AF57" s="70">
        <v>134.68455499999999</v>
      </c>
      <c r="AG57" s="70">
        <v>135.89631700000001</v>
      </c>
      <c r="AH57" s="70">
        <v>136.70043899999999</v>
      </c>
      <c r="AI57" s="70">
        <v>141.56359900000001</v>
      </c>
      <c r="AJ57" s="70">
        <v>141.53552199999999</v>
      </c>
      <c r="AK57" s="62">
        <v>8.4999999999999995E-4</v>
      </c>
    </row>
    <row r="58" spans="2:37" ht="15" customHeight="1">
      <c r="B58" s="60" t="s">
        <v>306</v>
      </c>
      <c r="C58" s="70">
        <v>0</v>
      </c>
      <c r="D58" s="70">
        <v>0</v>
      </c>
      <c r="E58" s="70">
        <v>0</v>
      </c>
      <c r="F58" s="70">
        <v>0</v>
      </c>
      <c r="G58" s="70">
        <v>0</v>
      </c>
      <c r="H58" s="70">
        <v>0</v>
      </c>
      <c r="I58" s="70">
        <v>0</v>
      </c>
      <c r="J58" s="70">
        <v>0</v>
      </c>
      <c r="K58" s="70">
        <v>0</v>
      </c>
      <c r="L58" s="70">
        <v>0</v>
      </c>
      <c r="M58" s="70">
        <v>0</v>
      </c>
      <c r="N58" s="70">
        <v>0</v>
      </c>
      <c r="O58" s="70">
        <v>0</v>
      </c>
      <c r="P58" s="70">
        <v>0</v>
      </c>
      <c r="Q58" s="70">
        <v>0</v>
      </c>
      <c r="R58" s="70">
        <v>0</v>
      </c>
      <c r="S58" s="70">
        <v>0</v>
      </c>
      <c r="T58" s="70">
        <v>0</v>
      </c>
      <c r="U58" s="70">
        <v>0</v>
      </c>
      <c r="V58" s="70">
        <v>0</v>
      </c>
      <c r="W58" s="70">
        <v>0</v>
      </c>
      <c r="X58" s="70">
        <v>0</v>
      </c>
      <c r="Y58" s="70">
        <v>0</v>
      </c>
      <c r="Z58" s="70">
        <v>0</v>
      </c>
      <c r="AA58" s="70">
        <v>0</v>
      </c>
      <c r="AB58" s="70">
        <v>0</v>
      </c>
      <c r="AC58" s="70">
        <v>0</v>
      </c>
      <c r="AD58" s="70">
        <v>0</v>
      </c>
      <c r="AE58" s="70">
        <v>0</v>
      </c>
      <c r="AF58" s="70">
        <v>0</v>
      </c>
      <c r="AG58" s="70">
        <v>0</v>
      </c>
      <c r="AH58" s="70">
        <v>0</v>
      </c>
      <c r="AI58" s="70">
        <v>0</v>
      </c>
      <c r="AJ58" s="70">
        <v>0</v>
      </c>
      <c r="AK58" s="62" t="s">
        <v>164</v>
      </c>
    </row>
    <row r="59" spans="2:37" ht="15" customHeight="1">
      <c r="B59" s="60" t="s">
        <v>37</v>
      </c>
      <c r="C59" s="70">
        <v>26.351015</v>
      </c>
      <c r="D59" s="70">
        <v>25.866499000000001</v>
      </c>
      <c r="E59" s="70">
        <v>25.28199</v>
      </c>
      <c r="F59" s="70">
        <v>25.024312999999999</v>
      </c>
      <c r="G59" s="70">
        <v>24.885424</v>
      </c>
      <c r="H59" s="70">
        <v>24.284524999999999</v>
      </c>
      <c r="I59" s="70">
        <v>23.841522000000001</v>
      </c>
      <c r="J59" s="70">
        <v>23.139906</v>
      </c>
      <c r="K59" s="70">
        <v>22.981885999999999</v>
      </c>
      <c r="L59" s="70">
        <v>22.362406</v>
      </c>
      <c r="M59" s="70">
        <v>21.609511999999999</v>
      </c>
      <c r="N59" s="70">
        <v>21.838305999999999</v>
      </c>
      <c r="O59" s="70">
        <v>21.365532000000002</v>
      </c>
      <c r="P59" s="70">
        <v>21.493078000000001</v>
      </c>
      <c r="Q59" s="70">
        <v>21.875948000000001</v>
      </c>
      <c r="R59" s="70">
        <v>21.787866999999999</v>
      </c>
      <c r="S59" s="70">
        <v>21.621815000000002</v>
      </c>
      <c r="T59" s="70">
        <v>22.323833</v>
      </c>
      <c r="U59" s="70">
        <v>22.258825000000002</v>
      </c>
      <c r="V59" s="70">
        <v>22.226358000000001</v>
      </c>
      <c r="W59" s="70">
        <v>22.735565000000001</v>
      </c>
      <c r="X59" s="70">
        <v>22.808185999999999</v>
      </c>
      <c r="Y59" s="70">
        <v>22.836207999999999</v>
      </c>
      <c r="Z59" s="70">
        <v>23.278931</v>
      </c>
      <c r="AA59" s="70">
        <v>23.362829000000001</v>
      </c>
      <c r="AB59" s="70">
        <v>23.249783999999998</v>
      </c>
      <c r="AC59" s="70">
        <v>23.729403000000001</v>
      </c>
      <c r="AD59" s="70">
        <v>24.008248999999999</v>
      </c>
      <c r="AE59" s="70">
        <v>24.535644999999999</v>
      </c>
      <c r="AF59" s="70">
        <v>24.660892</v>
      </c>
      <c r="AG59" s="70">
        <v>24.901958</v>
      </c>
      <c r="AH59" s="70">
        <v>24.955978000000002</v>
      </c>
      <c r="AI59" s="70">
        <v>25.155131999999998</v>
      </c>
      <c r="AJ59" s="70">
        <v>25.214442999999999</v>
      </c>
      <c r="AK59" s="62">
        <v>-7.9799999999999999E-4</v>
      </c>
    </row>
    <row r="60" spans="2:37" ht="15" customHeight="1">
      <c r="B60" s="59" t="s">
        <v>1</v>
      </c>
      <c r="C60" s="69">
        <v>485.83270299999998</v>
      </c>
      <c r="D60" s="69">
        <v>474.724335</v>
      </c>
      <c r="E60" s="69">
        <v>460.76232900000002</v>
      </c>
      <c r="F60" s="69">
        <v>444.20663500000001</v>
      </c>
      <c r="G60" s="69">
        <v>442.39135700000003</v>
      </c>
      <c r="H60" s="69">
        <v>433.167328</v>
      </c>
      <c r="I60" s="69">
        <v>431.92431599999998</v>
      </c>
      <c r="J60" s="69">
        <v>423.48913599999997</v>
      </c>
      <c r="K60" s="69">
        <v>422.85400399999997</v>
      </c>
      <c r="L60" s="69">
        <v>420.72082499999999</v>
      </c>
      <c r="M60" s="69">
        <v>406.20446800000002</v>
      </c>
      <c r="N60" s="69">
        <v>414.48281900000001</v>
      </c>
      <c r="O60" s="69">
        <v>402.70620700000001</v>
      </c>
      <c r="P60" s="69">
        <v>405.33981299999999</v>
      </c>
      <c r="Q60" s="69">
        <v>407.04153400000001</v>
      </c>
      <c r="R60" s="69">
        <v>404.82064800000001</v>
      </c>
      <c r="S60" s="69">
        <v>402.10650600000002</v>
      </c>
      <c r="T60" s="69">
        <v>413.684235</v>
      </c>
      <c r="U60" s="69">
        <v>415.51156600000002</v>
      </c>
      <c r="V60" s="69">
        <v>412.42388899999997</v>
      </c>
      <c r="W60" s="69">
        <v>425.36099200000001</v>
      </c>
      <c r="X60" s="69">
        <v>427.79769900000002</v>
      </c>
      <c r="Y60" s="69">
        <v>429.598206</v>
      </c>
      <c r="Z60" s="69">
        <v>435.76001000000002</v>
      </c>
      <c r="AA60" s="69">
        <v>438.21997099999999</v>
      </c>
      <c r="AB60" s="69">
        <v>431.63018799999998</v>
      </c>
      <c r="AC60" s="69">
        <v>441.19461100000001</v>
      </c>
      <c r="AD60" s="69">
        <v>444.11346400000002</v>
      </c>
      <c r="AE60" s="69">
        <v>457.83987400000001</v>
      </c>
      <c r="AF60" s="69">
        <v>456.30792200000002</v>
      </c>
      <c r="AG60" s="69">
        <v>460.114105</v>
      </c>
      <c r="AH60" s="69">
        <v>461.68768299999999</v>
      </c>
      <c r="AI60" s="69">
        <v>466.99423200000001</v>
      </c>
      <c r="AJ60" s="69">
        <v>468.49658199999999</v>
      </c>
      <c r="AK60" s="66">
        <v>-4.1300000000000001E-4</v>
      </c>
    </row>
    <row r="61" spans="2:37" ht="15" customHeight="1"/>
    <row r="62" spans="2:37" ht="15" customHeight="1">
      <c r="B62" s="59" t="s">
        <v>307</v>
      </c>
    </row>
    <row r="63" spans="2:37" ht="15" customHeight="1">
      <c r="B63" s="59" t="s">
        <v>308</v>
      </c>
    </row>
    <row r="64" spans="2:37" ht="15" customHeight="1">
      <c r="B64" s="60" t="s">
        <v>309</v>
      </c>
      <c r="C64" s="64">
        <v>8.3919999999999995E-2</v>
      </c>
      <c r="D64" s="64">
        <v>4.1980000000000003E-2</v>
      </c>
      <c r="E64" s="64">
        <v>4.1980000000000003E-2</v>
      </c>
      <c r="F64" s="64">
        <v>0</v>
      </c>
      <c r="G64" s="64">
        <v>0</v>
      </c>
      <c r="H64" s="64">
        <v>0</v>
      </c>
      <c r="I64" s="64">
        <v>0</v>
      </c>
      <c r="J64" s="64">
        <v>0</v>
      </c>
      <c r="K64" s="64">
        <v>0</v>
      </c>
      <c r="L64" s="64">
        <v>0</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0</v>
      </c>
      <c r="AG64" s="64">
        <v>0</v>
      </c>
      <c r="AH64" s="64">
        <v>0</v>
      </c>
      <c r="AI64" s="64">
        <v>0</v>
      </c>
      <c r="AJ64" s="64">
        <v>0</v>
      </c>
      <c r="AK64" s="62" t="s">
        <v>164</v>
      </c>
    </row>
    <row r="65" spans="2:37" ht="15" customHeight="1">
      <c r="B65" s="60" t="s">
        <v>34</v>
      </c>
      <c r="C65" s="64">
        <v>3.18892</v>
      </c>
      <c r="D65" s="64">
        <v>3.1275300000000001</v>
      </c>
      <c r="E65" s="64">
        <v>3.1275300000000001</v>
      </c>
      <c r="F65" s="64">
        <v>3.066144</v>
      </c>
      <c r="G65" s="64">
        <v>3.066144</v>
      </c>
      <c r="H65" s="64">
        <v>3.066144</v>
      </c>
      <c r="I65" s="64">
        <v>3.066144</v>
      </c>
      <c r="J65" s="64">
        <v>3.066144</v>
      </c>
      <c r="K65" s="64">
        <v>3.066144</v>
      </c>
      <c r="L65" s="64">
        <v>3.066144</v>
      </c>
      <c r="M65" s="64">
        <v>3.066144</v>
      </c>
      <c r="N65" s="64">
        <v>3.066144</v>
      </c>
      <c r="O65" s="64">
        <v>2.973725</v>
      </c>
      <c r="P65" s="64">
        <v>2.9904809999999999</v>
      </c>
      <c r="Q65" s="64">
        <v>2.959308</v>
      </c>
      <c r="R65" s="64">
        <v>2.9541360000000001</v>
      </c>
      <c r="S65" s="64">
        <v>2.9294259999999999</v>
      </c>
      <c r="T65" s="64">
        <v>2.9652980000000002</v>
      </c>
      <c r="U65" s="64">
        <v>2.9589509999999999</v>
      </c>
      <c r="V65" s="64">
        <v>2.9603130000000002</v>
      </c>
      <c r="W65" s="64">
        <v>2.9401139999999999</v>
      </c>
      <c r="X65" s="64">
        <v>2.9358149999999998</v>
      </c>
      <c r="Y65" s="64">
        <v>2.9252349999999998</v>
      </c>
      <c r="Z65" s="64">
        <v>2.9442330000000001</v>
      </c>
      <c r="AA65" s="64">
        <v>2.9561600000000001</v>
      </c>
      <c r="AB65" s="64">
        <v>2.9327899999999998</v>
      </c>
      <c r="AC65" s="64">
        <v>2.9445739999999998</v>
      </c>
      <c r="AD65" s="64">
        <v>2.9559340000000001</v>
      </c>
      <c r="AE65" s="64">
        <v>3.0171770000000002</v>
      </c>
      <c r="AF65" s="64">
        <v>3.013255</v>
      </c>
      <c r="AG65" s="64">
        <v>3.0228280000000001</v>
      </c>
      <c r="AH65" s="64">
        <v>3.036686</v>
      </c>
      <c r="AI65" s="64">
        <v>3.046767</v>
      </c>
      <c r="AJ65" s="64">
        <v>3.0600360000000002</v>
      </c>
      <c r="AK65" s="62">
        <v>-6.8199999999999999E-4</v>
      </c>
    </row>
    <row r="66" spans="2:37" ht="15" customHeight="1">
      <c r="B66" s="60" t="s">
        <v>310</v>
      </c>
      <c r="C66" s="64">
        <v>0</v>
      </c>
      <c r="D66" s="64">
        <v>0</v>
      </c>
      <c r="E66" s="64">
        <v>0</v>
      </c>
      <c r="F66" s="64">
        <v>0</v>
      </c>
      <c r="G66" s="64">
        <v>0</v>
      </c>
      <c r="H66" s="64">
        <v>0</v>
      </c>
      <c r="I66" s="64">
        <v>0</v>
      </c>
      <c r="J66" s="64">
        <v>0</v>
      </c>
      <c r="K66" s="64">
        <v>0</v>
      </c>
      <c r="L66" s="64">
        <v>0</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0</v>
      </c>
      <c r="AG66" s="64">
        <v>0</v>
      </c>
      <c r="AH66" s="64">
        <v>0</v>
      </c>
      <c r="AI66" s="64">
        <v>0</v>
      </c>
      <c r="AJ66" s="64">
        <v>0</v>
      </c>
      <c r="AK66" s="62" t="s">
        <v>164</v>
      </c>
    </row>
    <row r="67" spans="2:37" ht="15" customHeight="1">
      <c r="B67" s="60" t="s">
        <v>311</v>
      </c>
      <c r="C67" s="64">
        <v>1.42127</v>
      </c>
      <c r="D67" s="64">
        <v>1.62185</v>
      </c>
      <c r="E67" s="64">
        <v>1.62185</v>
      </c>
      <c r="F67" s="64">
        <v>1.887853</v>
      </c>
      <c r="G67" s="64">
        <v>1.887853</v>
      </c>
      <c r="H67" s="64">
        <v>1.887853</v>
      </c>
      <c r="I67" s="64">
        <v>1.887853</v>
      </c>
      <c r="J67" s="64">
        <v>1.887853</v>
      </c>
      <c r="K67" s="64">
        <v>1.887853</v>
      </c>
      <c r="L67" s="64">
        <v>1.887853</v>
      </c>
      <c r="M67" s="64">
        <v>1.887853</v>
      </c>
      <c r="N67" s="64">
        <v>1.887853</v>
      </c>
      <c r="O67" s="64">
        <v>1.8417129999999999</v>
      </c>
      <c r="P67" s="64">
        <v>1.8500779999999999</v>
      </c>
      <c r="Q67" s="64">
        <v>1.8345149999999999</v>
      </c>
      <c r="R67" s="64">
        <v>1.831933</v>
      </c>
      <c r="S67" s="64">
        <v>1.819596</v>
      </c>
      <c r="T67" s="64">
        <v>1.8375049999999999</v>
      </c>
      <c r="U67" s="64">
        <v>1.8343370000000001</v>
      </c>
      <c r="V67" s="64">
        <v>1.8350169999999999</v>
      </c>
      <c r="W67" s="64">
        <v>1.8249329999999999</v>
      </c>
      <c r="X67" s="64">
        <v>1.822786</v>
      </c>
      <c r="Y67" s="64">
        <v>1.817504</v>
      </c>
      <c r="Z67" s="64">
        <v>1.826989</v>
      </c>
      <c r="AA67" s="64">
        <v>1.832943</v>
      </c>
      <c r="AB67" s="64">
        <v>1.8212759999999999</v>
      </c>
      <c r="AC67" s="64">
        <v>1.827159</v>
      </c>
      <c r="AD67" s="64">
        <v>1.8328310000000001</v>
      </c>
      <c r="AE67" s="64">
        <v>1.8634059999999999</v>
      </c>
      <c r="AF67" s="64">
        <v>1.861448</v>
      </c>
      <c r="AG67" s="64">
        <v>1.8662270000000001</v>
      </c>
      <c r="AH67" s="64">
        <v>1.873146</v>
      </c>
      <c r="AI67" s="64">
        <v>1.878179</v>
      </c>
      <c r="AJ67" s="64">
        <v>1.8848039999999999</v>
      </c>
      <c r="AK67" s="62">
        <v>4.7070000000000002E-3</v>
      </c>
    </row>
    <row r="68" spans="2:37" ht="15" customHeight="1">
      <c r="B68" s="59" t="s">
        <v>301</v>
      </c>
      <c r="C68" s="71">
        <v>4.6941100000000002</v>
      </c>
      <c r="D68" s="71">
        <v>4.7913600000000001</v>
      </c>
      <c r="E68" s="71">
        <v>4.7913600000000001</v>
      </c>
      <c r="F68" s="71">
        <v>4.9539960000000001</v>
      </c>
      <c r="G68" s="71">
        <v>4.9539960000000001</v>
      </c>
      <c r="H68" s="71">
        <v>4.9539960000000001</v>
      </c>
      <c r="I68" s="71">
        <v>4.9539960000000001</v>
      </c>
      <c r="J68" s="71">
        <v>4.9539960000000001</v>
      </c>
      <c r="K68" s="71">
        <v>4.9539960000000001</v>
      </c>
      <c r="L68" s="71">
        <v>4.9539960000000001</v>
      </c>
      <c r="M68" s="71">
        <v>4.9539960000000001</v>
      </c>
      <c r="N68" s="71">
        <v>4.9539960000000001</v>
      </c>
      <c r="O68" s="71">
        <v>4.8154370000000002</v>
      </c>
      <c r="P68" s="71">
        <v>4.8405589999999998</v>
      </c>
      <c r="Q68" s="71">
        <v>4.7938229999999997</v>
      </c>
      <c r="R68" s="71">
        <v>4.7860680000000002</v>
      </c>
      <c r="S68" s="71">
        <v>4.7490220000000001</v>
      </c>
      <c r="T68" s="71">
        <v>4.8028029999999999</v>
      </c>
      <c r="U68" s="71">
        <v>4.7932880000000004</v>
      </c>
      <c r="V68" s="71">
        <v>4.7953299999999999</v>
      </c>
      <c r="W68" s="71">
        <v>4.765047</v>
      </c>
      <c r="X68" s="71">
        <v>4.7586019999999998</v>
      </c>
      <c r="Y68" s="71">
        <v>4.7427390000000003</v>
      </c>
      <c r="Z68" s="71">
        <v>4.7712219999999999</v>
      </c>
      <c r="AA68" s="71">
        <v>4.789104</v>
      </c>
      <c r="AB68" s="71">
        <v>4.7540659999999999</v>
      </c>
      <c r="AC68" s="71">
        <v>4.7717330000000002</v>
      </c>
      <c r="AD68" s="71">
        <v>4.7887649999999997</v>
      </c>
      <c r="AE68" s="71">
        <v>4.8805820000000004</v>
      </c>
      <c r="AF68" s="71">
        <v>4.8747030000000002</v>
      </c>
      <c r="AG68" s="71">
        <v>4.8890549999999999</v>
      </c>
      <c r="AH68" s="71">
        <v>4.9098319999999998</v>
      </c>
      <c r="AI68" s="71">
        <v>4.9249460000000003</v>
      </c>
      <c r="AJ68" s="71">
        <v>4.944839</v>
      </c>
      <c r="AK68" s="66">
        <v>9.859999999999999E-4</v>
      </c>
    </row>
    <row r="69" spans="2:37" ht="15" customHeight="1">
      <c r="B69" s="59" t="s">
        <v>312</v>
      </c>
    </row>
    <row r="70" spans="2:37">
      <c r="B70" s="60" t="s">
        <v>309</v>
      </c>
      <c r="C70" s="64">
        <v>0.3468</v>
      </c>
      <c r="D70" s="64">
        <v>0.17338000000000001</v>
      </c>
      <c r="E70" s="64">
        <v>0.17338000000000001</v>
      </c>
      <c r="F70" s="64">
        <v>0</v>
      </c>
      <c r="G70" s="64">
        <v>0</v>
      </c>
      <c r="H70" s="64">
        <v>0</v>
      </c>
      <c r="I70" s="64">
        <v>0</v>
      </c>
      <c r="J70" s="64">
        <v>0</v>
      </c>
      <c r="K70" s="64">
        <v>0</v>
      </c>
      <c r="L70" s="64">
        <v>0</v>
      </c>
      <c r="M70" s="64">
        <v>0</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0</v>
      </c>
      <c r="AI70" s="64">
        <v>0</v>
      </c>
      <c r="AJ70" s="64">
        <v>0</v>
      </c>
      <c r="AK70" s="62" t="s">
        <v>164</v>
      </c>
    </row>
    <row r="71" spans="2:37" ht="15" customHeight="1">
      <c r="B71" s="60" t="s">
        <v>34</v>
      </c>
      <c r="C71" s="64">
        <v>24.283072000000001</v>
      </c>
      <c r="D71" s="64">
        <v>25.571251</v>
      </c>
      <c r="E71" s="64">
        <v>25.571251</v>
      </c>
      <c r="F71" s="64">
        <v>26.859417000000001</v>
      </c>
      <c r="G71" s="64">
        <v>26.859417000000001</v>
      </c>
      <c r="H71" s="64">
        <v>26.859417000000001</v>
      </c>
      <c r="I71" s="64">
        <v>26.859417000000001</v>
      </c>
      <c r="J71" s="64">
        <v>26.859417000000001</v>
      </c>
      <c r="K71" s="64">
        <v>26.859417000000001</v>
      </c>
      <c r="L71" s="64">
        <v>26.859417000000001</v>
      </c>
      <c r="M71" s="64">
        <v>26.859417000000001</v>
      </c>
      <c r="N71" s="64">
        <v>26.859417000000001</v>
      </c>
      <c r="O71" s="64">
        <v>26.049828999999999</v>
      </c>
      <c r="P71" s="64">
        <v>26.196611000000001</v>
      </c>
      <c r="Q71" s="64">
        <v>25.923535999999999</v>
      </c>
      <c r="R71" s="64">
        <v>25.878226999999999</v>
      </c>
      <c r="S71" s="64">
        <v>25.661767999999999</v>
      </c>
      <c r="T71" s="64">
        <v>25.976006999999999</v>
      </c>
      <c r="U71" s="64">
        <v>25.920415999999999</v>
      </c>
      <c r="V71" s="64">
        <v>25.932342999999999</v>
      </c>
      <c r="W71" s="64">
        <v>25.755402</v>
      </c>
      <c r="X71" s="64">
        <v>25.717741</v>
      </c>
      <c r="Y71" s="64">
        <v>25.625059</v>
      </c>
      <c r="Z71" s="64">
        <v>25.791481000000001</v>
      </c>
      <c r="AA71" s="64">
        <v>25.895962000000001</v>
      </c>
      <c r="AB71" s="64">
        <v>25.691240000000001</v>
      </c>
      <c r="AC71" s="64">
        <v>25.79447</v>
      </c>
      <c r="AD71" s="64">
        <v>25.893986000000002</v>
      </c>
      <c r="AE71" s="64">
        <v>26.430465999999999</v>
      </c>
      <c r="AF71" s="64">
        <v>26.396115999999999</v>
      </c>
      <c r="AG71" s="64">
        <v>26.479975</v>
      </c>
      <c r="AH71" s="64">
        <v>26.601369999999999</v>
      </c>
      <c r="AI71" s="64">
        <v>26.689678000000001</v>
      </c>
      <c r="AJ71" s="64">
        <v>26.805916</v>
      </c>
      <c r="AK71" s="62">
        <v>1.475E-3</v>
      </c>
    </row>
    <row r="72" spans="2:37">
      <c r="B72" s="60" t="s">
        <v>310</v>
      </c>
      <c r="C72" s="64">
        <v>0</v>
      </c>
      <c r="D72" s="64">
        <v>0</v>
      </c>
      <c r="E72" s="64">
        <v>0</v>
      </c>
      <c r="F72" s="64">
        <v>0</v>
      </c>
      <c r="G72" s="64">
        <v>0</v>
      </c>
      <c r="H72" s="64">
        <v>0</v>
      </c>
      <c r="I72" s="64">
        <v>0</v>
      </c>
      <c r="J72" s="64">
        <v>0</v>
      </c>
      <c r="K72" s="64">
        <v>0</v>
      </c>
      <c r="L72" s="64">
        <v>0</v>
      </c>
      <c r="M72" s="64">
        <v>0</v>
      </c>
      <c r="N72" s="64">
        <v>0</v>
      </c>
      <c r="O72" s="64">
        <v>0</v>
      </c>
      <c r="P72" s="64">
        <v>0</v>
      </c>
      <c r="Q72" s="64">
        <v>0</v>
      </c>
      <c r="R72" s="64">
        <v>0</v>
      </c>
      <c r="S72" s="64">
        <v>0</v>
      </c>
      <c r="T72" s="64">
        <v>0</v>
      </c>
      <c r="U72" s="64">
        <v>0</v>
      </c>
      <c r="V72" s="64">
        <v>0</v>
      </c>
      <c r="W72" s="64">
        <v>0</v>
      </c>
      <c r="X72" s="64">
        <v>0</v>
      </c>
      <c r="Y72" s="64">
        <v>0</v>
      </c>
      <c r="Z72" s="64">
        <v>0</v>
      </c>
      <c r="AA72" s="64">
        <v>0</v>
      </c>
      <c r="AB72" s="64">
        <v>0</v>
      </c>
      <c r="AC72" s="64">
        <v>0</v>
      </c>
      <c r="AD72" s="64">
        <v>0</v>
      </c>
      <c r="AE72" s="64">
        <v>0</v>
      </c>
      <c r="AF72" s="64">
        <v>0</v>
      </c>
      <c r="AG72" s="64">
        <v>0</v>
      </c>
      <c r="AH72" s="64">
        <v>0</v>
      </c>
      <c r="AI72" s="64">
        <v>0</v>
      </c>
      <c r="AJ72" s="64">
        <v>0</v>
      </c>
      <c r="AK72" s="62" t="s">
        <v>164</v>
      </c>
    </row>
    <row r="73" spans="2:37" ht="15" customHeight="1">
      <c r="B73" s="60" t="s">
        <v>311</v>
      </c>
      <c r="C73" s="64">
        <v>7.8879400000000004</v>
      </c>
      <c r="D73" s="64">
        <v>10.648740999999999</v>
      </c>
      <c r="E73" s="64">
        <v>10.648740999999999</v>
      </c>
      <c r="F73" s="64">
        <v>13.409573999999999</v>
      </c>
      <c r="G73" s="64">
        <v>13.409573999999999</v>
      </c>
      <c r="H73" s="64">
        <v>13.409573999999999</v>
      </c>
      <c r="I73" s="64">
        <v>13.409573999999999</v>
      </c>
      <c r="J73" s="64">
        <v>13.430156</v>
      </c>
      <c r="K73" s="64">
        <v>13.438261000000001</v>
      </c>
      <c r="L73" s="64">
        <v>13.439049000000001</v>
      </c>
      <c r="M73" s="64">
        <v>13.439049000000001</v>
      </c>
      <c r="N73" s="64">
        <v>13.487943</v>
      </c>
      <c r="O73" s="64">
        <v>13.093921</v>
      </c>
      <c r="P73" s="64">
        <v>13.188672</v>
      </c>
      <c r="Q73" s="64">
        <v>13.052341</v>
      </c>
      <c r="R73" s="64">
        <v>13.029719999999999</v>
      </c>
      <c r="S73" s="64">
        <v>12.921652999999999</v>
      </c>
      <c r="T73" s="64">
        <v>13.078538</v>
      </c>
      <c r="U73" s="64">
        <v>13.050782</v>
      </c>
      <c r="V73" s="64">
        <v>13.056737999999999</v>
      </c>
      <c r="W73" s="64">
        <v>12.968399</v>
      </c>
      <c r="X73" s="64">
        <v>12.949597000000001</v>
      </c>
      <c r="Y73" s="64">
        <v>12.903326</v>
      </c>
      <c r="Z73" s="64">
        <v>12.986413000000001</v>
      </c>
      <c r="AA73" s="64">
        <v>13.038575</v>
      </c>
      <c r="AB73" s="64">
        <v>12.897092000000001</v>
      </c>
      <c r="AC73" s="64">
        <v>12.907372000000001</v>
      </c>
      <c r="AD73" s="64">
        <v>12.957055</v>
      </c>
      <c r="AE73" s="64">
        <v>13.224894000000001</v>
      </c>
      <c r="AF73" s="64">
        <v>13.207743000000001</v>
      </c>
      <c r="AG73" s="64">
        <v>13.249610000000001</v>
      </c>
      <c r="AH73" s="64">
        <v>13.310221</v>
      </c>
      <c r="AI73" s="64">
        <v>13.354317</v>
      </c>
      <c r="AJ73" s="64">
        <v>13.412335000000001</v>
      </c>
      <c r="AK73" s="62">
        <v>7.2360000000000002E-3</v>
      </c>
    </row>
    <row r="74" spans="2:37" ht="15" customHeight="1">
      <c r="B74" s="59" t="s">
        <v>301</v>
      </c>
      <c r="C74" s="71">
        <v>32.517811000000002</v>
      </c>
      <c r="D74" s="71">
        <v>36.393371999999999</v>
      </c>
      <c r="E74" s="71">
        <v>36.393371999999999</v>
      </c>
      <c r="F74" s="71">
        <v>40.268990000000002</v>
      </c>
      <c r="G74" s="71">
        <v>40.268990000000002</v>
      </c>
      <c r="H74" s="71">
        <v>40.268990000000002</v>
      </c>
      <c r="I74" s="71">
        <v>40.268990000000002</v>
      </c>
      <c r="J74" s="71">
        <v>40.289574000000002</v>
      </c>
      <c r="K74" s="71">
        <v>40.297676000000003</v>
      </c>
      <c r="L74" s="71">
        <v>40.298465999999998</v>
      </c>
      <c r="M74" s="71">
        <v>40.298465999999998</v>
      </c>
      <c r="N74" s="71">
        <v>40.347358999999997</v>
      </c>
      <c r="O74" s="71">
        <v>39.143749</v>
      </c>
      <c r="P74" s="71">
        <v>39.385283999999999</v>
      </c>
      <c r="Q74" s="71">
        <v>38.975876</v>
      </c>
      <c r="R74" s="71">
        <v>38.907947999999998</v>
      </c>
      <c r="S74" s="71">
        <v>38.583419999999997</v>
      </c>
      <c r="T74" s="71">
        <v>39.054546000000002</v>
      </c>
      <c r="U74" s="71">
        <v>38.971198999999999</v>
      </c>
      <c r="V74" s="71">
        <v>38.989082000000003</v>
      </c>
      <c r="W74" s="71">
        <v>38.723801000000002</v>
      </c>
      <c r="X74" s="71">
        <v>38.667338999999998</v>
      </c>
      <c r="Y74" s="71">
        <v>38.528385</v>
      </c>
      <c r="Z74" s="71">
        <v>38.777892999999999</v>
      </c>
      <c r="AA74" s="71">
        <v>38.934536000000001</v>
      </c>
      <c r="AB74" s="71">
        <v>38.588332999999999</v>
      </c>
      <c r="AC74" s="71">
        <v>38.701842999999997</v>
      </c>
      <c r="AD74" s="71">
        <v>38.851039999999998</v>
      </c>
      <c r="AE74" s="71">
        <v>39.655357000000002</v>
      </c>
      <c r="AF74" s="71">
        <v>39.603859</v>
      </c>
      <c r="AG74" s="71">
        <v>39.729584000000003</v>
      </c>
      <c r="AH74" s="71">
        <v>39.911591000000001</v>
      </c>
      <c r="AI74" s="71">
        <v>40.043995000000002</v>
      </c>
      <c r="AJ74" s="71">
        <v>40.218249999999998</v>
      </c>
      <c r="AK74" s="66">
        <v>3.1280000000000001E-3</v>
      </c>
    </row>
    <row r="75" spans="2:37" ht="15" customHeight="1">
      <c r="B75" s="59" t="s">
        <v>313</v>
      </c>
    </row>
    <row r="76" spans="2:37" ht="15" customHeight="1">
      <c r="B76" s="60" t="s">
        <v>314</v>
      </c>
      <c r="C76" s="64">
        <v>6.338241</v>
      </c>
      <c r="D76" s="64">
        <v>3.1690909999999999</v>
      </c>
      <c r="E76" s="64">
        <v>3.1690909999999999</v>
      </c>
      <c r="F76" s="64">
        <v>0</v>
      </c>
      <c r="G76" s="64">
        <v>0</v>
      </c>
      <c r="H76" s="64">
        <v>0</v>
      </c>
      <c r="I76" s="64">
        <v>0</v>
      </c>
      <c r="J76" s="64">
        <v>7.3070000000000001E-3</v>
      </c>
      <c r="K76" s="64">
        <v>1.0185E-2</v>
      </c>
      <c r="L76" s="64">
        <v>1.0463999999999999E-2</v>
      </c>
      <c r="M76" s="64">
        <v>1.0463999999999999E-2</v>
      </c>
      <c r="N76" s="64">
        <v>2.7823000000000001E-2</v>
      </c>
      <c r="O76" s="64">
        <v>3.1432000000000002E-2</v>
      </c>
      <c r="P76" s="64">
        <v>0.30374400000000001</v>
      </c>
      <c r="Q76" s="64">
        <v>0.474746</v>
      </c>
      <c r="R76" s="64">
        <v>0.69894000000000001</v>
      </c>
      <c r="S76" s="64">
        <v>6.1126E-2</v>
      </c>
      <c r="T76" s="64">
        <v>0.88079600000000002</v>
      </c>
      <c r="U76" s="64">
        <v>0.92432099999999995</v>
      </c>
      <c r="V76" s="64">
        <v>0.74632399999999999</v>
      </c>
      <c r="W76" s="64">
        <v>0.66453799999999996</v>
      </c>
      <c r="X76" s="64">
        <v>0.53353799999999996</v>
      </c>
      <c r="Y76" s="64">
        <v>0.14693300000000001</v>
      </c>
      <c r="Z76" s="64">
        <v>0.27362399999999998</v>
      </c>
      <c r="AA76" s="64">
        <v>0.24041000000000001</v>
      </c>
      <c r="AB76" s="64">
        <v>2.5111000000000001E-2</v>
      </c>
      <c r="AC76" s="64">
        <v>1.0463999999999999E-2</v>
      </c>
      <c r="AD76" s="64">
        <v>1.0463999999999999E-2</v>
      </c>
      <c r="AE76" s="64">
        <v>1.0463999999999999E-2</v>
      </c>
      <c r="AF76" s="64">
        <v>1.0463999999999999E-2</v>
      </c>
      <c r="AG76" s="64">
        <v>1.0463999999999999E-2</v>
      </c>
      <c r="AH76" s="64">
        <v>1.0465E-2</v>
      </c>
      <c r="AI76" s="64">
        <v>1.0468E-2</v>
      </c>
      <c r="AJ76" s="64">
        <v>1.0463999999999999E-2</v>
      </c>
      <c r="AK76" s="62">
        <v>-0.16350999999999999</v>
      </c>
    </row>
    <row r="77" spans="2:37" ht="15" customHeight="1">
      <c r="B77" s="60" t="s">
        <v>315</v>
      </c>
      <c r="C77" s="64">
        <v>26.179570999999999</v>
      </c>
      <c r="D77" s="64">
        <v>33.224280999999998</v>
      </c>
      <c r="E77" s="64">
        <v>33.224280999999998</v>
      </c>
      <c r="F77" s="64">
        <v>40.268990000000002</v>
      </c>
      <c r="G77" s="64">
        <v>40.268990000000002</v>
      </c>
      <c r="H77" s="64">
        <v>40.268990000000002</v>
      </c>
      <c r="I77" s="64">
        <v>40.268990000000002</v>
      </c>
      <c r="J77" s="64">
        <v>40.282268999999999</v>
      </c>
      <c r="K77" s="64">
        <v>40.287495</v>
      </c>
      <c r="L77" s="64">
        <v>40.288001999999999</v>
      </c>
      <c r="M77" s="64">
        <v>40.288001999999999</v>
      </c>
      <c r="N77" s="64">
        <v>40.319538000000001</v>
      </c>
      <c r="O77" s="64">
        <v>39.112319999999997</v>
      </c>
      <c r="P77" s="64">
        <v>39.081538999999999</v>
      </c>
      <c r="Q77" s="64">
        <v>38.501133000000003</v>
      </c>
      <c r="R77" s="64">
        <v>38.209010999999997</v>
      </c>
      <c r="S77" s="64">
        <v>38.522297000000002</v>
      </c>
      <c r="T77" s="64">
        <v>38.173748000000003</v>
      </c>
      <c r="U77" s="64">
        <v>38.046875</v>
      </c>
      <c r="V77" s="64">
        <v>38.242759999999997</v>
      </c>
      <c r="W77" s="64">
        <v>38.059265000000003</v>
      </c>
      <c r="X77" s="64">
        <v>38.133803999999998</v>
      </c>
      <c r="Y77" s="64">
        <v>38.381453999999998</v>
      </c>
      <c r="Z77" s="64">
        <v>38.504272</v>
      </c>
      <c r="AA77" s="64">
        <v>38.694125999999997</v>
      </c>
      <c r="AB77" s="64">
        <v>38.563220999999999</v>
      </c>
      <c r="AC77" s="64">
        <v>38.691375999999998</v>
      </c>
      <c r="AD77" s="64">
        <v>38.840575999999999</v>
      </c>
      <c r="AE77" s="64">
        <v>39.644897</v>
      </c>
      <c r="AF77" s="64">
        <v>39.593395000000001</v>
      </c>
      <c r="AG77" s="64">
        <v>39.719119999999997</v>
      </c>
      <c r="AH77" s="64">
        <v>39.901127000000002</v>
      </c>
      <c r="AI77" s="64">
        <v>40.033526999999999</v>
      </c>
      <c r="AJ77" s="64">
        <v>40.207787000000003</v>
      </c>
      <c r="AK77" s="62">
        <v>5.9800000000000001E-3</v>
      </c>
    </row>
    <row r="78" spans="2:37" ht="15" customHeight="1"/>
    <row r="79" spans="2:37" ht="15" customHeight="1">
      <c r="B79" s="59" t="s">
        <v>316</v>
      </c>
    </row>
    <row r="80" spans="2:37" ht="15" customHeight="1">
      <c r="B80" s="59" t="s">
        <v>317</v>
      </c>
    </row>
    <row r="81" spans="2:37">
      <c r="B81" s="60" t="s">
        <v>318</v>
      </c>
      <c r="C81" s="70">
        <v>368</v>
      </c>
      <c r="D81" s="70">
        <v>368</v>
      </c>
      <c r="E81" s="70">
        <v>368</v>
      </c>
      <c r="F81" s="70">
        <v>397.96063199999998</v>
      </c>
      <c r="G81" s="70">
        <v>397.96063199999998</v>
      </c>
      <c r="H81" s="70">
        <v>397.96063199999998</v>
      </c>
      <c r="I81" s="70">
        <v>397.96063199999998</v>
      </c>
      <c r="J81" s="70">
        <v>397.96063199999998</v>
      </c>
      <c r="K81" s="70">
        <v>397.96063199999998</v>
      </c>
      <c r="L81" s="70">
        <v>397.96063199999998</v>
      </c>
      <c r="M81" s="70">
        <v>397.96063199999998</v>
      </c>
      <c r="N81" s="70">
        <v>397.96063199999998</v>
      </c>
      <c r="O81" s="70">
        <v>397.96063199999998</v>
      </c>
      <c r="P81" s="70">
        <v>397.96063199999998</v>
      </c>
      <c r="Q81" s="70">
        <v>393.58609000000001</v>
      </c>
      <c r="R81" s="70">
        <v>393.58609000000001</v>
      </c>
      <c r="S81" s="70">
        <v>393.58609000000001</v>
      </c>
      <c r="T81" s="70">
        <v>393.58609000000001</v>
      </c>
      <c r="U81" s="70">
        <v>393.58609000000001</v>
      </c>
      <c r="V81" s="70">
        <v>393.58609000000001</v>
      </c>
      <c r="W81" s="70">
        <v>393.58609000000001</v>
      </c>
      <c r="X81" s="70">
        <v>393.58609000000001</v>
      </c>
      <c r="Y81" s="70">
        <v>393.58609000000001</v>
      </c>
      <c r="Z81" s="70">
        <v>393.58609000000001</v>
      </c>
      <c r="AA81" s="70">
        <v>393.58609000000001</v>
      </c>
      <c r="AB81" s="70">
        <v>393.58609000000001</v>
      </c>
      <c r="AC81" s="70">
        <v>393.58609000000001</v>
      </c>
      <c r="AD81" s="70">
        <v>393.58609000000001</v>
      </c>
      <c r="AE81" s="70">
        <v>393.58609000000001</v>
      </c>
      <c r="AF81" s="70">
        <v>393.58609000000001</v>
      </c>
      <c r="AG81" s="70">
        <v>393.58609000000001</v>
      </c>
      <c r="AH81" s="70">
        <v>393.58609000000001</v>
      </c>
      <c r="AI81" s="70">
        <v>393.58609000000001</v>
      </c>
      <c r="AJ81" s="70">
        <v>393.58609000000001</v>
      </c>
      <c r="AK81" s="62">
        <v>2.1029999999999998E-3</v>
      </c>
    </row>
    <row r="82" spans="2:37" ht="15" customHeight="1">
      <c r="B82" s="60" t="s">
        <v>319</v>
      </c>
      <c r="C82" s="70">
        <v>24</v>
      </c>
      <c r="D82" s="70">
        <v>24</v>
      </c>
      <c r="E82" s="70">
        <v>24</v>
      </c>
      <c r="F82" s="70">
        <v>30.971101999999998</v>
      </c>
      <c r="G82" s="70">
        <v>30.971101999999998</v>
      </c>
      <c r="H82" s="70">
        <v>30.971101999999998</v>
      </c>
      <c r="I82" s="70">
        <v>30.971101999999998</v>
      </c>
      <c r="J82" s="70">
        <v>30.971101999999998</v>
      </c>
      <c r="K82" s="70">
        <v>30.971101999999998</v>
      </c>
      <c r="L82" s="70">
        <v>30.971101999999998</v>
      </c>
      <c r="M82" s="70">
        <v>30.971101999999998</v>
      </c>
      <c r="N82" s="70">
        <v>30.971101999999998</v>
      </c>
      <c r="O82" s="70">
        <v>30.971101999999998</v>
      </c>
      <c r="P82" s="70">
        <v>30.971101999999998</v>
      </c>
      <c r="Q82" s="70">
        <v>30.971101999999998</v>
      </c>
      <c r="R82" s="70">
        <v>30.971101999999998</v>
      </c>
      <c r="S82" s="70">
        <v>30.971101999999998</v>
      </c>
      <c r="T82" s="70">
        <v>30.971101999999998</v>
      </c>
      <c r="U82" s="70">
        <v>30.971101999999998</v>
      </c>
      <c r="V82" s="70">
        <v>30.971101999999998</v>
      </c>
      <c r="W82" s="70">
        <v>30.971101999999998</v>
      </c>
      <c r="X82" s="70">
        <v>30.971101999999998</v>
      </c>
      <c r="Y82" s="70">
        <v>30.971101999999998</v>
      </c>
      <c r="Z82" s="70">
        <v>30.971101999999998</v>
      </c>
      <c r="AA82" s="70">
        <v>30.971101999999998</v>
      </c>
      <c r="AB82" s="70">
        <v>30.971101999999998</v>
      </c>
      <c r="AC82" s="70">
        <v>30.971101999999998</v>
      </c>
      <c r="AD82" s="70">
        <v>30.971101999999998</v>
      </c>
      <c r="AE82" s="70">
        <v>30.971101999999998</v>
      </c>
      <c r="AF82" s="70">
        <v>30.971101999999998</v>
      </c>
      <c r="AG82" s="70">
        <v>30.971101999999998</v>
      </c>
      <c r="AH82" s="70">
        <v>30.971101999999998</v>
      </c>
      <c r="AI82" s="70">
        <v>30.971101999999998</v>
      </c>
      <c r="AJ82" s="70">
        <v>30.971101999999998</v>
      </c>
      <c r="AK82" s="62">
        <v>8.0009999999999994E-3</v>
      </c>
    </row>
    <row r="83" spans="2:37" ht="15" customHeight="1">
      <c r="B83" s="60" t="s">
        <v>320</v>
      </c>
      <c r="C83" s="70">
        <v>37</v>
      </c>
      <c r="D83" s="70">
        <v>37</v>
      </c>
      <c r="E83" s="70">
        <v>37</v>
      </c>
      <c r="F83" s="70">
        <v>39.075619000000003</v>
      </c>
      <c r="G83" s="70">
        <v>39.075619000000003</v>
      </c>
      <c r="H83" s="70">
        <v>39.075619000000003</v>
      </c>
      <c r="I83" s="70">
        <v>39.075619000000003</v>
      </c>
      <c r="J83" s="70">
        <v>39.075619000000003</v>
      </c>
      <c r="K83" s="70">
        <v>39.075619000000003</v>
      </c>
      <c r="L83" s="70">
        <v>39.075619000000003</v>
      </c>
      <c r="M83" s="70">
        <v>39.075619000000003</v>
      </c>
      <c r="N83" s="70">
        <v>39.075619000000003</v>
      </c>
      <c r="O83" s="70">
        <v>39.130226</v>
      </c>
      <c r="P83" s="70">
        <v>39.130226</v>
      </c>
      <c r="Q83" s="70">
        <v>38.716053000000002</v>
      </c>
      <c r="R83" s="70">
        <v>38.716053000000002</v>
      </c>
      <c r="S83" s="70">
        <v>38.716053000000002</v>
      </c>
      <c r="T83" s="70">
        <v>38.716053000000002</v>
      </c>
      <c r="U83" s="70">
        <v>38.716053000000002</v>
      </c>
      <c r="V83" s="70">
        <v>38.716053000000002</v>
      </c>
      <c r="W83" s="70">
        <v>38.716053000000002</v>
      </c>
      <c r="X83" s="70">
        <v>38.716053000000002</v>
      </c>
      <c r="Y83" s="70">
        <v>38.716053000000002</v>
      </c>
      <c r="Z83" s="70">
        <v>38.716053000000002</v>
      </c>
      <c r="AA83" s="70">
        <v>38.716053000000002</v>
      </c>
      <c r="AB83" s="70">
        <v>38.716053000000002</v>
      </c>
      <c r="AC83" s="70">
        <v>38.716053000000002</v>
      </c>
      <c r="AD83" s="70">
        <v>38.716053000000002</v>
      </c>
      <c r="AE83" s="70">
        <v>38.716053000000002</v>
      </c>
      <c r="AF83" s="70">
        <v>38.716053000000002</v>
      </c>
      <c r="AG83" s="70">
        <v>38.716053000000002</v>
      </c>
      <c r="AH83" s="70">
        <v>38.716053000000002</v>
      </c>
      <c r="AI83" s="70">
        <v>38.716053000000002</v>
      </c>
      <c r="AJ83" s="70">
        <v>38.716053000000002</v>
      </c>
      <c r="AK83" s="62">
        <v>1.418E-3</v>
      </c>
    </row>
    <row r="84" spans="2:37" ht="15" customHeight="1">
      <c r="B84" s="59" t="s">
        <v>321</v>
      </c>
      <c r="C84" s="69">
        <v>429</v>
      </c>
      <c r="D84" s="69">
        <v>429</v>
      </c>
      <c r="E84" s="69">
        <v>429</v>
      </c>
      <c r="F84" s="69">
        <v>468.00735500000002</v>
      </c>
      <c r="G84" s="69">
        <v>468.00735500000002</v>
      </c>
      <c r="H84" s="69">
        <v>468.00735500000002</v>
      </c>
      <c r="I84" s="69">
        <v>468.00735500000002</v>
      </c>
      <c r="J84" s="69">
        <v>468.00735500000002</v>
      </c>
      <c r="K84" s="69">
        <v>468.00735500000002</v>
      </c>
      <c r="L84" s="69">
        <v>468.00735500000002</v>
      </c>
      <c r="M84" s="69">
        <v>468.00735500000002</v>
      </c>
      <c r="N84" s="69">
        <v>468.00735500000002</v>
      </c>
      <c r="O84" s="69">
        <v>468.06195100000002</v>
      </c>
      <c r="P84" s="69">
        <v>468.06195100000002</v>
      </c>
      <c r="Q84" s="69">
        <v>463.27325400000001</v>
      </c>
      <c r="R84" s="69">
        <v>463.27325400000001</v>
      </c>
      <c r="S84" s="69">
        <v>463.27325400000001</v>
      </c>
      <c r="T84" s="69">
        <v>463.27325400000001</v>
      </c>
      <c r="U84" s="69">
        <v>463.27325400000001</v>
      </c>
      <c r="V84" s="69">
        <v>463.27325400000001</v>
      </c>
      <c r="W84" s="69">
        <v>463.27325400000001</v>
      </c>
      <c r="X84" s="69">
        <v>463.27325400000001</v>
      </c>
      <c r="Y84" s="69">
        <v>463.27325400000001</v>
      </c>
      <c r="Z84" s="69">
        <v>463.27325400000001</v>
      </c>
      <c r="AA84" s="69">
        <v>463.27325400000001</v>
      </c>
      <c r="AB84" s="69">
        <v>463.27325400000001</v>
      </c>
      <c r="AC84" s="69">
        <v>463.27325400000001</v>
      </c>
      <c r="AD84" s="69">
        <v>463.27325400000001</v>
      </c>
      <c r="AE84" s="69">
        <v>463.27325400000001</v>
      </c>
      <c r="AF84" s="69">
        <v>463.27325400000001</v>
      </c>
      <c r="AG84" s="69">
        <v>463.27325400000001</v>
      </c>
      <c r="AH84" s="69">
        <v>463.27325400000001</v>
      </c>
      <c r="AI84" s="69">
        <v>463.27325400000001</v>
      </c>
      <c r="AJ84" s="69">
        <v>463.27325400000001</v>
      </c>
      <c r="AK84" s="66">
        <v>2.405E-3</v>
      </c>
    </row>
    <row r="85" spans="2:37" ht="15" customHeight="1"/>
    <row r="87" spans="2:37" ht="15.75">
      <c r="B87" s="57" t="s">
        <v>151</v>
      </c>
    </row>
    <row r="88" spans="2:37">
      <c r="B88" s="53" t="s">
        <v>152</v>
      </c>
    </row>
    <row r="89" spans="2:37">
      <c r="B89" s="53" t="s">
        <v>153</v>
      </c>
      <c r="C89" s="50" t="s">
        <v>153</v>
      </c>
      <c r="D89" s="50" t="s">
        <v>153</v>
      </c>
      <c r="E89" s="50" t="s">
        <v>153</v>
      </c>
      <c r="F89" s="50" t="s">
        <v>153</v>
      </c>
      <c r="G89" s="50" t="s">
        <v>153</v>
      </c>
      <c r="H89" s="50" t="s">
        <v>153</v>
      </c>
      <c r="I89" s="50" t="s">
        <v>153</v>
      </c>
      <c r="J89" s="50" t="s">
        <v>153</v>
      </c>
      <c r="K89" s="50" t="s">
        <v>153</v>
      </c>
      <c r="L89" s="50" t="s">
        <v>153</v>
      </c>
      <c r="M89" s="50" t="s">
        <v>153</v>
      </c>
      <c r="N89" s="50" t="s">
        <v>153</v>
      </c>
      <c r="O89" s="50" t="s">
        <v>153</v>
      </c>
      <c r="P89" s="50" t="s">
        <v>153</v>
      </c>
      <c r="Q89" s="50" t="s">
        <v>153</v>
      </c>
      <c r="R89" s="50" t="s">
        <v>153</v>
      </c>
      <c r="S89" s="50" t="s">
        <v>153</v>
      </c>
      <c r="T89" s="50" t="s">
        <v>153</v>
      </c>
      <c r="U89" s="50" t="s">
        <v>153</v>
      </c>
      <c r="V89" s="50" t="s">
        <v>153</v>
      </c>
      <c r="W89" s="50" t="s">
        <v>153</v>
      </c>
      <c r="X89" s="50" t="s">
        <v>153</v>
      </c>
      <c r="Y89" s="50" t="s">
        <v>153</v>
      </c>
      <c r="Z89" s="50" t="s">
        <v>153</v>
      </c>
      <c r="AA89" s="50" t="s">
        <v>153</v>
      </c>
      <c r="AB89" s="50" t="s">
        <v>153</v>
      </c>
      <c r="AC89" s="50" t="s">
        <v>153</v>
      </c>
      <c r="AD89" s="50" t="s">
        <v>153</v>
      </c>
      <c r="AE89" s="50" t="s">
        <v>153</v>
      </c>
      <c r="AF89" s="50" t="s">
        <v>153</v>
      </c>
      <c r="AG89" s="50" t="s">
        <v>153</v>
      </c>
      <c r="AH89" s="50" t="s">
        <v>153</v>
      </c>
      <c r="AI89" s="50" t="s">
        <v>153</v>
      </c>
      <c r="AJ89" s="50" t="s">
        <v>153</v>
      </c>
      <c r="AK89" s="50" t="s">
        <v>154</v>
      </c>
    </row>
    <row r="90" spans="2:37" ht="14.65" thickBot="1">
      <c r="B90" s="54" t="s">
        <v>155</v>
      </c>
      <c r="C90" s="54">
        <v>2017</v>
      </c>
      <c r="D90" s="54">
        <v>2018</v>
      </c>
      <c r="E90" s="54">
        <v>2019</v>
      </c>
      <c r="F90" s="54">
        <v>2020</v>
      </c>
      <c r="G90" s="54">
        <v>2021</v>
      </c>
      <c r="H90" s="54">
        <v>2022</v>
      </c>
      <c r="I90" s="54">
        <v>2023</v>
      </c>
      <c r="J90" s="54">
        <v>2024</v>
      </c>
      <c r="K90" s="54">
        <v>2025</v>
      </c>
      <c r="L90" s="54">
        <v>2026</v>
      </c>
      <c r="M90" s="54">
        <v>2027</v>
      </c>
      <c r="N90" s="54">
        <v>2028</v>
      </c>
      <c r="O90" s="54">
        <v>2029</v>
      </c>
      <c r="P90" s="54">
        <v>2030</v>
      </c>
      <c r="Q90" s="54">
        <v>2031</v>
      </c>
      <c r="R90" s="54">
        <v>2032</v>
      </c>
      <c r="S90" s="54">
        <v>2033</v>
      </c>
      <c r="T90" s="54">
        <v>2034</v>
      </c>
      <c r="U90" s="54">
        <v>2035</v>
      </c>
      <c r="V90" s="54">
        <v>2036</v>
      </c>
      <c r="W90" s="54">
        <v>2037</v>
      </c>
      <c r="X90" s="54">
        <v>2038</v>
      </c>
      <c r="Y90" s="54">
        <v>2039</v>
      </c>
      <c r="Z90" s="54">
        <v>2040</v>
      </c>
      <c r="AA90" s="54">
        <v>2041</v>
      </c>
      <c r="AB90" s="54">
        <v>2042</v>
      </c>
      <c r="AC90" s="54">
        <v>2043</v>
      </c>
      <c r="AD90" s="54">
        <v>2044</v>
      </c>
      <c r="AE90" s="54">
        <v>2045</v>
      </c>
      <c r="AF90" s="54">
        <v>2046</v>
      </c>
      <c r="AG90" s="54">
        <v>2047</v>
      </c>
      <c r="AH90" s="54">
        <v>2048</v>
      </c>
      <c r="AI90" s="54">
        <v>2049</v>
      </c>
      <c r="AJ90" s="54">
        <v>2050</v>
      </c>
      <c r="AK90" s="54">
        <v>2050</v>
      </c>
    </row>
    <row r="91" spans="2:37" ht="14.65" thickTop="1"/>
    <row r="92" spans="2:37">
      <c r="B92" s="59" t="s">
        <v>156</v>
      </c>
    </row>
    <row r="93" spans="2:37">
      <c r="B93" s="60" t="s">
        <v>157</v>
      </c>
      <c r="C93" s="64">
        <v>9.3550000000000004</v>
      </c>
      <c r="D93" s="64">
        <v>10.738707</v>
      </c>
      <c r="E93" s="64">
        <v>11.969469999999999</v>
      </c>
      <c r="F93" s="64">
        <v>13.085901</v>
      </c>
      <c r="G93" s="64">
        <v>13.665421</v>
      </c>
      <c r="H93" s="64">
        <v>13.977781</v>
      </c>
      <c r="I93" s="64">
        <v>13.917915000000001</v>
      </c>
      <c r="J93" s="64">
        <v>14.012055999999999</v>
      </c>
      <c r="K93" s="64">
        <v>14.09416</v>
      </c>
      <c r="L93" s="64">
        <v>14.374950999999999</v>
      </c>
      <c r="M93" s="64">
        <v>14.506202999999999</v>
      </c>
      <c r="N93" s="64">
        <v>14.414600999999999</v>
      </c>
      <c r="O93" s="64">
        <v>14.413425</v>
      </c>
      <c r="P93" s="64">
        <v>14.460274999999999</v>
      </c>
      <c r="Q93" s="64">
        <v>14.534125</v>
      </c>
      <c r="R93" s="64">
        <v>14.510524</v>
      </c>
      <c r="S93" s="64">
        <v>14.482533</v>
      </c>
      <c r="T93" s="64">
        <v>14.434381</v>
      </c>
      <c r="U93" s="64">
        <v>14.329347</v>
      </c>
      <c r="V93" s="64">
        <v>14.269213000000001</v>
      </c>
      <c r="W93" s="64">
        <v>14.174327</v>
      </c>
      <c r="X93" s="64">
        <v>14.138339999999999</v>
      </c>
      <c r="Y93" s="64">
        <v>14.101298</v>
      </c>
      <c r="Z93" s="64">
        <v>14.050145000000001</v>
      </c>
      <c r="AA93" s="64">
        <v>13.942207</v>
      </c>
      <c r="AB93" s="64">
        <v>13.782654000000001</v>
      </c>
      <c r="AC93" s="64">
        <v>13.524231</v>
      </c>
      <c r="AD93" s="64">
        <v>13.299628999999999</v>
      </c>
      <c r="AE93" s="64">
        <v>13.030392000000001</v>
      </c>
      <c r="AF93" s="64">
        <v>12.814966999999999</v>
      </c>
      <c r="AG93" s="64">
        <v>12.614922</v>
      </c>
      <c r="AH93" s="64">
        <v>12.374134</v>
      </c>
      <c r="AI93" s="64">
        <v>12.0793</v>
      </c>
      <c r="AJ93" s="64">
        <v>11.860887999999999</v>
      </c>
      <c r="AK93" s="62">
        <v>3.1110000000000001E-3</v>
      </c>
    </row>
    <row r="94" spans="2:37">
      <c r="B94" s="60" t="s">
        <v>158</v>
      </c>
      <c r="C94" s="64">
        <v>0.49399999999999999</v>
      </c>
      <c r="D94" s="64">
        <v>0.48214499999999999</v>
      </c>
      <c r="E94" s="64">
        <v>0.487068</v>
      </c>
      <c r="F94" s="64">
        <v>0.5</v>
      </c>
      <c r="G94" s="64">
        <v>0.55501699999999998</v>
      </c>
      <c r="H94" s="64">
        <v>0.593024</v>
      </c>
      <c r="I94" s="64">
        <v>0.58454799999999996</v>
      </c>
      <c r="J94" s="64">
        <v>0.571241</v>
      </c>
      <c r="K94" s="64">
        <v>0.58111500000000005</v>
      </c>
      <c r="L94" s="64">
        <v>0.66922000000000004</v>
      </c>
      <c r="M94" s="64">
        <v>0.67625999999999997</v>
      </c>
      <c r="N94" s="64">
        <v>0.65802000000000005</v>
      </c>
      <c r="O94" s="64">
        <v>0.63698399999999999</v>
      </c>
      <c r="P94" s="64">
        <v>0.62767700000000004</v>
      </c>
      <c r="Q94" s="64">
        <v>0.66203999999999996</v>
      </c>
      <c r="R94" s="64">
        <v>0.73163299999999998</v>
      </c>
      <c r="S94" s="64">
        <v>0.80968600000000002</v>
      </c>
      <c r="T94" s="64">
        <v>0.888741</v>
      </c>
      <c r="U94" s="64">
        <v>0.94326900000000002</v>
      </c>
      <c r="V94" s="64">
        <v>1.0361959999999999</v>
      </c>
      <c r="W94" s="64">
        <v>1.0928960000000001</v>
      </c>
      <c r="X94" s="64">
        <v>1.189854</v>
      </c>
      <c r="Y94" s="64">
        <v>1.2296640000000001</v>
      </c>
      <c r="Z94" s="64">
        <v>1.3024150000000001</v>
      </c>
      <c r="AA94" s="64">
        <v>1.2490429999999999</v>
      </c>
      <c r="AB94" s="64">
        <v>1.152226</v>
      </c>
      <c r="AC94" s="64">
        <v>1.0565389999999999</v>
      </c>
      <c r="AD94" s="64">
        <v>0.94470299999999996</v>
      </c>
      <c r="AE94" s="64">
        <v>0.84807900000000003</v>
      </c>
      <c r="AF94" s="64">
        <v>0.76454</v>
      </c>
      <c r="AG94" s="64">
        <v>0.69225800000000004</v>
      </c>
      <c r="AH94" s="64">
        <v>0.62966999999999995</v>
      </c>
      <c r="AI94" s="64">
        <v>0.57152099999999995</v>
      </c>
      <c r="AJ94" s="64">
        <v>0.51294499999999998</v>
      </c>
      <c r="AK94" s="62">
        <v>1.9369999999999999E-3</v>
      </c>
    </row>
    <row r="95" spans="2:37">
      <c r="B95" s="60" t="s">
        <v>159</v>
      </c>
      <c r="C95" s="64">
        <v>8.8610000000000007</v>
      </c>
      <c r="D95" s="64">
        <v>10.256561</v>
      </c>
      <c r="E95" s="64">
        <v>11.482402</v>
      </c>
      <c r="F95" s="64">
        <v>12.585901</v>
      </c>
      <c r="G95" s="64">
        <v>13.110404000000001</v>
      </c>
      <c r="H95" s="64">
        <v>13.384755999999999</v>
      </c>
      <c r="I95" s="64">
        <v>13.333367000000001</v>
      </c>
      <c r="J95" s="64">
        <v>13.440816</v>
      </c>
      <c r="K95" s="64">
        <v>13.513045</v>
      </c>
      <c r="L95" s="64">
        <v>13.705730000000001</v>
      </c>
      <c r="M95" s="64">
        <v>13.829943</v>
      </c>
      <c r="N95" s="64">
        <v>13.756581000000001</v>
      </c>
      <c r="O95" s="64">
        <v>13.776441999999999</v>
      </c>
      <c r="P95" s="64">
        <v>13.832597</v>
      </c>
      <c r="Q95" s="64">
        <v>13.872085</v>
      </c>
      <c r="R95" s="64">
        <v>13.778891</v>
      </c>
      <c r="S95" s="64">
        <v>13.672846</v>
      </c>
      <c r="T95" s="64">
        <v>13.545640000000001</v>
      </c>
      <c r="U95" s="64">
        <v>13.386077999999999</v>
      </c>
      <c r="V95" s="64">
        <v>13.233015999999999</v>
      </c>
      <c r="W95" s="64">
        <v>13.081431</v>
      </c>
      <c r="X95" s="64">
        <v>12.948485</v>
      </c>
      <c r="Y95" s="64">
        <v>12.871634</v>
      </c>
      <c r="Z95" s="64">
        <v>12.747729</v>
      </c>
      <c r="AA95" s="64">
        <v>12.693163999999999</v>
      </c>
      <c r="AB95" s="64">
        <v>12.630428</v>
      </c>
      <c r="AC95" s="64">
        <v>12.467692</v>
      </c>
      <c r="AD95" s="64">
        <v>12.354926000000001</v>
      </c>
      <c r="AE95" s="64">
        <v>12.182312</v>
      </c>
      <c r="AF95" s="64">
        <v>12.050427000000001</v>
      </c>
      <c r="AG95" s="64">
        <v>11.922663</v>
      </c>
      <c r="AH95" s="64">
        <v>11.744465</v>
      </c>
      <c r="AI95" s="64">
        <v>11.507778</v>
      </c>
      <c r="AJ95" s="64">
        <v>11.347943000000001</v>
      </c>
      <c r="AK95" s="62">
        <v>3.1649999999999998E-3</v>
      </c>
    </row>
    <row r="96" spans="2:37">
      <c r="B96" s="60" t="s">
        <v>160</v>
      </c>
      <c r="C96" s="64">
        <v>6.8120000000000003</v>
      </c>
      <c r="D96" s="64">
        <v>5.931</v>
      </c>
      <c r="E96" s="64">
        <v>5.2130000000000001</v>
      </c>
      <c r="F96" s="64">
        <v>4.6201239999999997</v>
      </c>
      <c r="G96" s="64">
        <v>3.7545679999999999</v>
      </c>
      <c r="H96" s="64">
        <v>3.5372710000000001</v>
      </c>
      <c r="I96" s="64">
        <v>3.5076070000000001</v>
      </c>
      <c r="J96" s="64">
        <v>3.3476900000000001</v>
      </c>
      <c r="K96" s="64">
        <v>3.078382</v>
      </c>
      <c r="L96" s="64">
        <v>2.7763149999999999</v>
      </c>
      <c r="M96" s="64">
        <v>2.7044320000000002</v>
      </c>
      <c r="N96" s="64">
        <v>2.8212009999999998</v>
      </c>
      <c r="O96" s="64">
        <v>2.8072050000000002</v>
      </c>
      <c r="P96" s="64">
        <v>2.7199680000000002</v>
      </c>
      <c r="Q96" s="64">
        <v>2.6647750000000001</v>
      </c>
      <c r="R96" s="64">
        <v>2.667618</v>
      </c>
      <c r="S96" s="64">
        <v>2.6265589999999999</v>
      </c>
      <c r="T96" s="64">
        <v>2.6569829999999999</v>
      </c>
      <c r="U96" s="64">
        <v>2.750658</v>
      </c>
      <c r="V96" s="64">
        <v>2.8205619999999998</v>
      </c>
      <c r="W96" s="64">
        <v>2.9597090000000001</v>
      </c>
      <c r="X96" s="64">
        <v>3.006656</v>
      </c>
      <c r="Y96" s="64">
        <v>2.964677</v>
      </c>
      <c r="Z96" s="64">
        <v>3.0126520000000001</v>
      </c>
      <c r="AA96" s="64">
        <v>3.1409379999999998</v>
      </c>
      <c r="AB96" s="64">
        <v>3.3849010000000002</v>
      </c>
      <c r="AC96" s="64">
        <v>3.6131820000000001</v>
      </c>
      <c r="AD96" s="64">
        <v>3.8951600000000002</v>
      </c>
      <c r="AE96" s="64">
        <v>4.1653510000000002</v>
      </c>
      <c r="AF96" s="64">
        <v>4.4635600000000002</v>
      </c>
      <c r="AG96" s="64">
        <v>4.6519959999999996</v>
      </c>
      <c r="AH96" s="64">
        <v>4.9108179999999999</v>
      </c>
      <c r="AI96" s="64">
        <v>5.0815489999999999</v>
      </c>
      <c r="AJ96" s="64">
        <v>5.2999369999999999</v>
      </c>
      <c r="AK96" s="62">
        <v>-3.509E-3</v>
      </c>
    </row>
    <row r="97" spans="2:37">
      <c r="B97" s="60" t="s">
        <v>161</v>
      </c>
      <c r="C97" s="64">
        <v>7.9690000000000003</v>
      </c>
      <c r="D97" s="64">
        <v>7.7359999999999998</v>
      </c>
      <c r="E97" s="64">
        <v>7.024</v>
      </c>
      <c r="F97" s="64">
        <v>6.4455109999999998</v>
      </c>
      <c r="G97" s="64">
        <v>6.1514720000000001</v>
      </c>
      <c r="H97" s="64">
        <v>5.6368679999999998</v>
      </c>
      <c r="I97" s="64">
        <v>5.7158579999999999</v>
      </c>
      <c r="J97" s="64">
        <v>5.4486679999999996</v>
      </c>
      <c r="K97" s="64">
        <v>5.5757969999999997</v>
      </c>
      <c r="L97" s="64">
        <v>5.1989929999999998</v>
      </c>
      <c r="M97" s="64">
        <v>4.5168189999999999</v>
      </c>
      <c r="N97" s="64">
        <v>4.8156460000000001</v>
      </c>
      <c r="O97" s="64">
        <v>4.8224850000000004</v>
      </c>
      <c r="P97" s="64">
        <v>4.8062680000000002</v>
      </c>
      <c r="Q97" s="64">
        <v>4.8209160000000004</v>
      </c>
      <c r="R97" s="64">
        <v>4.7996860000000003</v>
      </c>
      <c r="S97" s="64">
        <v>4.7565140000000001</v>
      </c>
      <c r="T97" s="64">
        <v>5.0214549999999996</v>
      </c>
      <c r="U97" s="64">
        <v>5.1348770000000004</v>
      </c>
      <c r="V97" s="64">
        <v>5.2416219999999996</v>
      </c>
      <c r="W97" s="64">
        <v>5.4638239999999998</v>
      </c>
      <c r="X97" s="64">
        <v>5.619802</v>
      </c>
      <c r="Y97" s="64">
        <v>5.5911629999999999</v>
      </c>
      <c r="Z97" s="64">
        <v>5.7599910000000003</v>
      </c>
      <c r="AA97" s="64">
        <v>5.8635599999999997</v>
      </c>
      <c r="AB97" s="64">
        <v>5.5795130000000004</v>
      </c>
      <c r="AC97" s="64">
        <v>6.155036</v>
      </c>
      <c r="AD97" s="64">
        <v>6.0349409999999999</v>
      </c>
      <c r="AE97" s="64">
        <v>6.6217129999999997</v>
      </c>
      <c r="AF97" s="64">
        <v>6.4525360000000003</v>
      </c>
      <c r="AG97" s="64">
        <v>6.6342629999999998</v>
      </c>
      <c r="AH97" s="64">
        <v>6.8473860000000002</v>
      </c>
      <c r="AI97" s="64">
        <v>7.0322300000000002</v>
      </c>
      <c r="AJ97" s="64">
        <v>7.2754940000000001</v>
      </c>
      <c r="AK97" s="62">
        <v>-1.916E-3</v>
      </c>
    </row>
    <row r="98" spans="2:37">
      <c r="B98" s="60" t="s">
        <v>162</v>
      </c>
      <c r="C98" s="64">
        <v>1.157</v>
      </c>
      <c r="D98" s="64">
        <v>1.8049999999999999</v>
      </c>
      <c r="E98" s="64">
        <v>1.8109999999999999</v>
      </c>
      <c r="F98" s="64">
        <v>1.8253870000000001</v>
      </c>
      <c r="G98" s="64">
        <v>2.396903</v>
      </c>
      <c r="H98" s="64">
        <v>2.0995970000000002</v>
      </c>
      <c r="I98" s="64">
        <v>2.2082519999999999</v>
      </c>
      <c r="J98" s="64">
        <v>2.100978</v>
      </c>
      <c r="K98" s="64">
        <v>2.4974150000000002</v>
      </c>
      <c r="L98" s="64">
        <v>2.4226779999999999</v>
      </c>
      <c r="M98" s="64">
        <v>1.8123880000000001</v>
      </c>
      <c r="N98" s="64">
        <v>1.9944440000000001</v>
      </c>
      <c r="O98" s="64">
        <v>2.0152800000000002</v>
      </c>
      <c r="P98" s="64">
        <v>2.0863</v>
      </c>
      <c r="Q98" s="64">
        <v>2.1561409999999999</v>
      </c>
      <c r="R98" s="64">
        <v>2.1320679999999999</v>
      </c>
      <c r="S98" s="64">
        <v>2.1299549999999998</v>
      </c>
      <c r="T98" s="64">
        <v>2.3644729999999998</v>
      </c>
      <c r="U98" s="64">
        <v>2.3842189999999999</v>
      </c>
      <c r="V98" s="64">
        <v>2.4210609999999999</v>
      </c>
      <c r="W98" s="64">
        <v>2.504114</v>
      </c>
      <c r="X98" s="64">
        <v>2.6131449999999998</v>
      </c>
      <c r="Y98" s="64">
        <v>2.6264859999999999</v>
      </c>
      <c r="Z98" s="64">
        <v>2.7473390000000002</v>
      </c>
      <c r="AA98" s="64">
        <v>2.7226219999999999</v>
      </c>
      <c r="AB98" s="64">
        <v>2.1946119999999998</v>
      </c>
      <c r="AC98" s="64">
        <v>2.5418539999999998</v>
      </c>
      <c r="AD98" s="64">
        <v>2.1397810000000002</v>
      </c>
      <c r="AE98" s="64">
        <v>2.4563619999999999</v>
      </c>
      <c r="AF98" s="64">
        <v>1.988977</v>
      </c>
      <c r="AG98" s="64">
        <v>1.982267</v>
      </c>
      <c r="AH98" s="64">
        <v>1.936569</v>
      </c>
      <c r="AI98" s="64">
        <v>1.9506810000000001</v>
      </c>
      <c r="AJ98" s="64">
        <v>1.975557</v>
      </c>
      <c r="AK98" s="62">
        <v>2.8249999999999998E-3</v>
      </c>
    </row>
    <row r="99" spans="2:37">
      <c r="B99" s="60" t="s">
        <v>163</v>
      </c>
      <c r="C99" s="64">
        <v>0.42699999999999999</v>
      </c>
      <c r="D99" s="64">
        <v>0.23599999999999999</v>
      </c>
      <c r="E99" s="64">
        <v>4.9000000000000002E-2</v>
      </c>
      <c r="F99" s="64">
        <v>1.366E-2</v>
      </c>
      <c r="G99" s="64">
        <v>1.575E-2</v>
      </c>
      <c r="H99" s="64">
        <v>3.4250000000000003E-2</v>
      </c>
      <c r="I99" s="64">
        <v>7.7399999999999997E-2</v>
      </c>
      <c r="J99" s="64">
        <v>9.5630000000000007E-2</v>
      </c>
      <c r="K99" s="64">
        <v>7.1919999999999998E-2</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2" t="s">
        <v>164</v>
      </c>
    </row>
    <row r="100" spans="2:37">
      <c r="B100" s="59" t="s">
        <v>165</v>
      </c>
      <c r="C100" s="71">
        <v>16.594000000000001</v>
      </c>
      <c r="D100" s="71">
        <v>16.905705999999999</v>
      </c>
      <c r="E100" s="71">
        <v>17.231470000000002</v>
      </c>
      <c r="F100" s="71">
        <v>17.719684999999998</v>
      </c>
      <c r="G100" s="71">
        <v>17.435741</v>
      </c>
      <c r="H100" s="71">
        <v>17.549302999999998</v>
      </c>
      <c r="I100" s="71">
        <v>17.502922000000002</v>
      </c>
      <c r="J100" s="71">
        <v>17.455378</v>
      </c>
      <c r="K100" s="71">
        <v>17.244463</v>
      </c>
      <c r="L100" s="71">
        <v>17.151266</v>
      </c>
      <c r="M100" s="71">
        <v>17.210633999999999</v>
      </c>
      <c r="N100" s="71">
        <v>17.235802</v>
      </c>
      <c r="O100" s="71">
        <v>17.220631000000001</v>
      </c>
      <c r="P100" s="71">
        <v>17.180243000000001</v>
      </c>
      <c r="Q100" s="71">
        <v>17.198899999999998</v>
      </c>
      <c r="R100" s="71">
        <v>17.178142999999999</v>
      </c>
      <c r="S100" s="71">
        <v>17.109090999999999</v>
      </c>
      <c r="T100" s="71">
        <v>17.091363999999999</v>
      </c>
      <c r="U100" s="71">
        <v>17.080003999999999</v>
      </c>
      <c r="V100" s="71">
        <v>17.089774999999999</v>
      </c>
      <c r="W100" s="71">
        <v>17.134036999999999</v>
      </c>
      <c r="X100" s="71">
        <v>17.144997</v>
      </c>
      <c r="Y100" s="71">
        <v>17.065975000000002</v>
      </c>
      <c r="Z100" s="71">
        <v>17.062798000000001</v>
      </c>
      <c r="AA100" s="71">
        <v>17.083144999999998</v>
      </c>
      <c r="AB100" s="71">
        <v>17.167555</v>
      </c>
      <c r="AC100" s="71">
        <v>17.137412999999999</v>
      </c>
      <c r="AD100" s="71">
        <v>17.194790000000001</v>
      </c>
      <c r="AE100" s="71">
        <v>17.195744000000001</v>
      </c>
      <c r="AF100" s="71">
        <v>17.278525999999999</v>
      </c>
      <c r="AG100" s="71">
        <v>17.266918</v>
      </c>
      <c r="AH100" s="71">
        <v>17.284952000000001</v>
      </c>
      <c r="AI100" s="71">
        <v>17.160848999999999</v>
      </c>
      <c r="AJ100" s="71">
        <v>17.160824000000002</v>
      </c>
      <c r="AK100" s="66">
        <v>4.6799999999999999E-4</v>
      </c>
    </row>
    <row r="103" spans="2:37" s="8" customFormat="1">
      <c r="B103" s="2" t="s">
        <v>322</v>
      </c>
    </row>
    <row r="104" spans="2:37" ht="14.65" thickBot="1">
      <c r="B104" s="51" t="s">
        <v>169</v>
      </c>
      <c r="C104" s="54">
        <v>2017</v>
      </c>
      <c r="D104" s="54">
        <v>2018</v>
      </c>
      <c r="E104" s="54">
        <v>2019</v>
      </c>
      <c r="F104" s="54">
        <v>2020</v>
      </c>
      <c r="G104" s="54">
        <v>2021</v>
      </c>
      <c r="H104" s="54">
        <v>2022</v>
      </c>
      <c r="I104" s="54">
        <v>2023</v>
      </c>
      <c r="J104" s="54">
        <v>2024</v>
      </c>
      <c r="K104" s="54">
        <v>2025</v>
      </c>
      <c r="L104" s="54">
        <v>2026</v>
      </c>
      <c r="M104" s="54">
        <v>2027</v>
      </c>
      <c r="N104" s="54">
        <v>2028</v>
      </c>
      <c r="O104" s="54">
        <v>2029</v>
      </c>
      <c r="P104" s="54">
        <v>2030</v>
      </c>
      <c r="Q104" s="54">
        <v>2031</v>
      </c>
      <c r="R104" s="54">
        <v>2032</v>
      </c>
      <c r="S104" s="54">
        <v>2033</v>
      </c>
      <c r="T104" s="54">
        <v>2034</v>
      </c>
      <c r="U104" s="54">
        <v>2035</v>
      </c>
      <c r="V104" s="54">
        <v>2036</v>
      </c>
      <c r="W104" s="54">
        <v>2037</v>
      </c>
      <c r="X104" s="54">
        <v>2038</v>
      </c>
      <c r="Y104" s="54">
        <v>2039</v>
      </c>
      <c r="Z104" s="54">
        <v>2040</v>
      </c>
      <c r="AA104" s="54">
        <v>2041</v>
      </c>
      <c r="AB104" s="54">
        <v>2042</v>
      </c>
      <c r="AC104" s="54">
        <v>2043</v>
      </c>
      <c r="AD104" s="54">
        <v>2044</v>
      </c>
      <c r="AE104" s="54">
        <v>2045</v>
      </c>
      <c r="AF104" s="54">
        <v>2046</v>
      </c>
      <c r="AG104" s="54">
        <v>2047</v>
      </c>
      <c r="AH104" s="54">
        <v>2048</v>
      </c>
      <c r="AI104" s="54">
        <v>2049</v>
      </c>
      <c r="AJ104" s="54">
        <v>2050</v>
      </c>
      <c r="AK104" s="54"/>
    </row>
    <row r="105" spans="2:37" ht="14.65" thickTop="1">
      <c r="B105" s="5" t="s">
        <v>323</v>
      </c>
      <c r="C105" s="5">
        <f>(((C93-Refineries!C98)*'AEO Table 73'!C48+Refineries!C96*'AEO Table 73'!C49)/SUM(Refineries!C93,Refineries!C96,-Refineries!C98))*C8*365*10^6*10^6</f>
        <v>3.6920673808477024E+16</v>
      </c>
      <c r="D105" s="5">
        <f>(((D93-Refineries!D98)*'AEO Table 73'!D48+Refineries!D96*'AEO Table 73'!D49)/SUM(Refineries!D93,Refineries!D96,-Refineries!D98))*D8*365*10^6*10^6</f>
        <v>3.770214216028644E+16</v>
      </c>
      <c r="E105" s="5">
        <f>(((E93-Refineries!E98)*'AEO Table 73'!E48+Refineries!E96*'AEO Table 73'!E49)/SUM(Refineries!E93,Refineries!E96,-Refineries!E98))*E8*365*10^6*10^6</f>
        <v>3.8329111730387656E+16</v>
      </c>
      <c r="F105" s="5">
        <f>(((F93-Refineries!F98)*'AEO Table 73'!F48+Refineries!F96*'AEO Table 73'!F49)/SUM(Refineries!F93,Refineries!F96,-Refineries!F98))*F8*365*10^6*10^6</f>
        <v>3.9449717721707384E+16</v>
      </c>
      <c r="G105" s="5">
        <f>(((G93-Refineries!G98)*'AEO Table 73'!G48+Refineries!G96*'AEO Table 73'!G49)/SUM(Refineries!G93,Refineries!G96,-Refineries!G98))*G8*365*10^6*10^6</f>
        <v>3.8640888432695104E+16</v>
      </c>
      <c r="H105" s="5">
        <f>(((H93-Refineries!H98)*'AEO Table 73'!H48+Refineries!H96*'AEO Table 73'!H49)/SUM(Refineries!H93,Refineries!H96,-Refineries!H98))*H8*365*10^6*10^6</f>
        <v>3.8716832647376544E+16</v>
      </c>
      <c r="I105" s="5">
        <f>(((I93-Refineries!I98)*'AEO Table 73'!I48+Refineries!I96*'AEO Table 73'!I49)/SUM(Refineries!I93,Refineries!I96,-Refineries!I98))*I8*365*10^6*10^6</f>
        <v>3.852445973804652E+16</v>
      </c>
      <c r="J105" s="5">
        <f>(((J93-Refineries!J98)*'AEO Table 73'!J48+Refineries!J96*'AEO Table 73'!J49)/SUM(Refineries!J93,Refineries!J96,-Refineries!J98))*J8*365*10^6*10^6</f>
        <v>3.8286953175073136E+16</v>
      </c>
      <c r="K105" s="5">
        <f>(((K93-Refineries!K98)*'AEO Table 73'!K48+Refineries!K96*'AEO Table 73'!K49)/SUM(Refineries!K93,Refineries!K96,-Refineries!K98))*K8*365*10^6*10^6</f>
        <v>3.7722902463692688E+16</v>
      </c>
      <c r="L105" s="5">
        <f>(((L93-Refineries!L98)*'AEO Table 73'!L48+Refineries!L96*'AEO Table 73'!L49)/SUM(Refineries!L93,Refineries!L96,-Refineries!L98))*L8*365*10^6*10^6</f>
        <v>3.7389407458097568E+16</v>
      </c>
      <c r="M105" s="5">
        <f>(((M93-Refineries!M98)*'AEO Table 73'!M48+Refineries!M96*'AEO Table 73'!M49)/SUM(Refineries!M93,Refineries!M96,-Refineries!M98))*M8*365*10^6*10^6</f>
        <v>3.7414441063674488E+16</v>
      </c>
      <c r="N105" s="5">
        <f>(((N93-Refineries!N98)*'AEO Table 73'!N48+Refineries!N96*'AEO Table 73'!N49)/SUM(Refineries!N93,Refineries!N96,-Refineries!N98))*N8*365*10^6*10^6</f>
        <v>3.75014574940592E+16</v>
      </c>
      <c r="O105" s="5">
        <f>(((O93-Refineries!O98)*'AEO Table 73'!O48+Refineries!O96*'AEO Table 73'!O49)/SUM(Refineries!O93,Refineries!O96,-Refineries!O98))*O8*365*10^6*10^6</f>
        <v>3.7416143868704016E+16</v>
      </c>
      <c r="P105" s="5">
        <f>(((P93-Refineries!P98)*'AEO Table 73'!P48+Refineries!P96*'AEO Table 73'!P49)/SUM(Refineries!P93,Refineries!P96,-Refineries!P98))*P8*365*10^6*10^6</f>
        <v>3.7329124896271536E+16</v>
      </c>
      <c r="Q105" s="5">
        <f>(((Q93-Refineries!Q98)*'AEO Table 73'!Q48+Refineries!Q96*'AEO Table 73'!Q49)/SUM(Refineries!Q93,Refineries!Q96,-Refineries!Q98))*Q8*365*10^6*10^6</f>
        <v>3.7374502036084536E+16</v>
      </c>
      <c r="R105" s="5">
        <f>(((R93-Refineries!R98)*'AEO Table 73'!R48+Refineries!R96*'AEO Table 73'!R49)/SUM(Refineries!R93,Refineries!R96,-Refineries!R98))*R8*365*10^6*10^6</f>
        <v>3.732118093625984E+16</v>
      </c>
      <c r="S105" s="5">
        <f>(((S93-Refineries!S98)*'AEO Table 73'!S48+Refineries!S96*'AEO Table 73'!S49)/SUM(Refineries!S93,Refineries!S96,-Refineries!S98))*S8*365*10^6*10^6</f>
        <v>3.713186276795316E+16</v>
      </c>
      <c r="T105" s="5">
        <f>(((T93-Refineries!T98)*'AEO Table 73'!T48+Refineries!T96*'AEO Table 73'!T49)/SUM(Refineries!T93,Refineries!T96,-Refineries!T98))*T8*365*10^6*10^6</f>
        <v>3.715687392717856E+16</v>
      </c>
      <c r="U105" s="5">
        <f>(((U93-Refineries!U98)*'AEO Table 73'!U48+Refineries!U96*'AEO Table 73'!U49)/SUM(Refineries!U93,Refineries!U96,-Refineries!U98))*U8*365*10^6*10^6</f>
        <v>3.7154787798568304E+16</v>
      </c>
      <c r="V105" s="5">
        <f>(((V93-Refineries!V98)*'AEO Table 73'!V48+Refineries!V96*'AEO Table 73'!V49)/SUM(Refineries!V93,Refineries!V96,-Refineries!V98))*V8*365*10^6*10^6</f>
        <v>3.713704842626476E+16</v>
      </c>
      <c r="W105" s="5">
        <f>(((W93-Refineries!W98)*'AEO Table 73'!W48+Refineries!W96*'AEO Table 73'!W49)/SUM(Refineries!W93,Refineries!W96,-Refineries!W98))*W8*365*10^6*10^6</f>
        <v>3.7311968978193328E+16</v>
      </c>
      <c r="X105" s="5">
        <f>(((X93-Refineries!X98)*'AEO Table 73'!X48+Refineries!X96*'AEO Table 73'!X49)/SUM(Refineries!X93,Refineries!X96,-Refineries!X98))*X8*365*10^6*10^6</f>
        <v>3.7349633727293536E+16</v>
      </c>
      <c r="Y105" s="5">
        <f>(((Y93-Refineries!Y98)*'AEO Table 73'!Y48+Refineries!Y96*'AEO Table 73'!Y49)/SUM(Refineries!Y93,Refineries!Y96,-Refineries!Y98))*Y8*365*10^6*10^6</f>
        <v>3.719251007766912E+16</v>
      </c>
      <c r="Z105" s="5">
        <f>(((Z93-Refineries!Z98)*'AEO Table 73'!Z48+Refineries!Z96*'AEO Table 73'!Z49)/SUM(Refineries!Z93,Refineries!Z96,-Refineries!Z98))*Z8*365*10^6*10^6</f>
        <v>3.719310798693192E+16</v>
      </c>
      <c r="AA105" s="5">
        <f>(((AA93-Refineries!AA98)*'AEO Table 73'!AA48+Refineries!AA96*'AEO Table 73'!AA49)/SUM(Refineries!AA93,Refineries!AA96,-Refineries!AA98))*AA8*365*10^6*10^6</f>
        <v>3.7252277080089552E+16</v>
      </c>
      <c r="AB105" s="5">
        <f>(((AB93-Refineries!AB98)*'AEO Table 73'!AB48+Refineries!AB96*'AEO Table 73'!AB49)/SUM(Refineries!AB93,Refineries!AB96,-Refineries!AB98))*AB8*365*10^6*10^6</f>
        <v>3.740176013963708E+16</v>
      </c>
      <c r="AC105" s="5">
        <f>(((AC93-Refineries!AC98)*'AEO Table 73'!AC48+Refineries!AC96*'AEO Table 73'!AC49)/SUM(Refineries!AC93,Refineries!AC96,-Refineries!AC98))*AC8*365*10^6*10^6</f>
        <v>3.740273375299788E+16</v>
      </c>
      <c r="AD105" s="5">
        <f>(((AD93-Refineries!AD98)*'AEO Table 73'!AD48+Refineries!AD96*'AEO Table 73'!AD49)/SUM(Refineries!AD93,Refineries!AD96,-Refineries!AD98))*AD8*365*10^6*10^6</f>
        <v>3.7563940181665816E+16</v>
      </c>
      <c r="AE105" s="5">
        <f>(((AE93-Refineries!AE98)*'AEO Table 73'!AE48+Refineries!AE96*'AEO Table 73'!AE49)/SUM(Refineries!AE93,Refineries!AE96,-Refineries!AE98))*AE8*365*10^6*10^6</f>
        <v>3.7641433975209376E+16</v>
      </c>
      <c r="AF105" s="5">
        <f>(((AF93-Refineries!AF98)*'AEO Table 73'!AF48+Refineries!AF96*'AEO Table 73'!AF49)/SUM(Refineries!AF93,Refineries!AF96,-Refineries!AF98))*AF8*365*10^6*10^6</f>
        <v>3.7845322307668264E+16</v>
      </c>
      <c r="AG105" s="5">
        <f>(((AG93-Refineries!AG98)*'AEO Table 73'!AG48+Refineries!AG96*'AEO Table 73'!AG49)/SUM(Refineries!AG93,Refineries!AG96,-Refineries!AG98))*AG8*365*10^6*10^6</f>
        <v>3.7842558521428608E+16</v>
      </c>
      <c r="AH105" s="5">
        <f>(((AH93-Refineries!AH98)*'AEO Table 73'!AH48+Refineries!AH96*'AEO Table 73'!AH49)/SUM(Refineries!AH93,Refineries!AH96,-Refineries!AH98))*AH8*365*10^6*10^6</f>
        <v>3.7908746417997104E+16</v>
      </c>
      <c r="AI105" s="5">
        <f>(((AI93-Refineries!AI98)*'AEO Table 73'!AI48+Refineries!AI96*'AEO Table 73'!AI49)/SUM(Refineries!AI93,Refineries!AI96,-Refineries!AI98))*AI8*365*10^6*10^6</f>
        <v>3.7674722114617744E+16</v>
      </c>
      <c r="AJ105" s="5">
        <f>(((AJ93-Refineries!AJ98)*'AEO Table 73'!AJ48+Refineries!AJ96*'AEO Table 73'!AJ49)/SUM(Refineries!AJ93,Refineries!AJ96,-Refineries!AJ98))*AJ8*365*10^6*10^6</f>
        <v>3.769903347553624E+16</v>
      </c>
    </row>
    <row r="106" spans="2:37">
      <c r="B106" s="5" t="s">
        <v>135</v>
      </c>
      <c r="C106" s="5">
        <f>C18*10^12</f>
        <v>1477841064000000</v>
      </c>
      <c r="D106" s="5">
        <f t="shared" ref="D106:AJ106" si="0">D18*10^12</f>
        <v>1458953857000000</v>
      </c>
      <c r="E106" s="5">
        <f t="shared" si="0"/>
        <v>1443570801000000</v>
      </c>
      <c r="F106" s="5">
        <f t="shared" si="0"/>
        <v>1503634766000000</v>
      </c>
      <c r="G106" s="5">
        <f t="shared" si="0"/>
        <v>1494849365000000</v>
      </c>
      <c r="H106" s="5">
        <f t="shared" si="0"/>
        <v>1507322266000000</v>
      </c>
      <c r="I106" s="5">
        <f t="shared" si="0"/>
        <v>1516399414000000</v>
      </c>
      <c r="J106" s="5">
        <f t="shared" si="0"/>
        <v>1501258545000000</v>
      </c>
      <c r="K106" s="5">
        <f t="shared" si="0"/>
        <v>1490474854000000</v>
      </c>
      <c r="L106" s="5">
        <f t="shared" si="0"/>
        <v>1497544678000000</v>
      </c>
      <c r="M106" s="5">
        <f t="shared" si="0"/>
        <v>1427854248000000</v>
      </c>
      <c r="N106" s="5">
        <f t="shared" si="0"/>
        <v>1453719482000000</v>
      </c>
      <c r="O106" s="5">
        <f t="shared" si="0"/>
        <v>1403582397000000</v>
      </c>
      <c r="P106" s="5">
        <f t="shared" si="0"/>
        <v>1411829468000000</v>
      </c>
      <c r="Q106" s="5">
        <f t="shared" si="0"/>
        <v>1393601318000000</v>
      </c>
      <c r="R106" s="5">
        <f t="shared" si="0"/>
        <v>1387472656000000</v>
      </c>
      <c r="S106" s="5">
        <f t="shared" si="0"/>
        <v>1376320190000000</v>
      </c>
      <c r="T106" s="5">
        <f t="shared" si="0"/>
        <v>1393617676000000</v>
      </c>
      <c r="U106" s="5">
        <f t="shared" si="0"/>
        <v>1409844360000000</v>
      </c>
      <c r="V106" s="5">
        <f t="shared" si="0"/>
        <v>1413510498000000</v>
      </c>
      <c r="W106" s="5">
        <f t="shared" si="0"/>
        <v>1415609985000000</v>
      </c>
      <c r="X106" s="5">
        <f t="shared" si="0"/>
        <v>1432585327000000</v>
      </c>
      <c r="Y106" s="5">
        <f t="shared" si="0"/>
        <v>1431089355000000</v>
      </c>
      <c r="Z106" s="5">
        <f t="shared" si="0"/>
        <v>1444054077000000</v>
      </c>
      <c r="AA106" s="5">
        <f t="shared" si="0"/>
        <v>1452462646000000</v>
      </c>
      <c r="AB106" s="5">
        <f t="shared" si="0"/>
        <v>1436817627000000</v>
      </c>
      <c r="AC106" s="5">
        <f t="shared" si="0"/>
        <v>1464999512000000</v>
      </c>
      <c r="AD106" s="5">
        <f t="shared" si="0"/>
        <v>1457420044000000</v>
      </c>
      <c r="AE106" s="5">
        <f t="shared" si="0"/>
        <v>1525833862000000</v>
      </c>
      <c r="AF106" s="5">
        <f t="shared" si="0"/>
        <v>1499611328000000</v>
      </c>
      <c r="AG106" s="5">
        <f t="shared" si="0"/>
        <v>1507556274000000</v>
      </c>
      <c r="AH106" s="5">
        <f t="shared" si="0"/>
        <v>1514647339000000</v>
      </c>
      <c r="AI106" s="5">
        <f t="shared" si="0"/>
        <v>1540548828000000</v>
      </c>
      <c r="AJ106" s="5">
        <f t="shared" si="0"/>
        <v>1541281860000000</v>
      </c>
    </row>
    <row r="107" spans="2:37">
      <c r="B107" s="68" t="s">
        <v>134</v>
      </c>
      <c r="C107" s="5">
        <f>C22*10^12</f>
        <v>24000000000000</v>
      </c>
      <c r="D107" s="5">
        <f t="shared" ref="D107:AJ107" si="1">D22*10^12</f>
        <v>24000000000000</v>
      </c>
      <c r="E107" s="5">
        <f t="shared" si="1"/>
        <v>24000000000000</v>
      </c>
      <c r="F107" s="5">
        <f t="shared" si="1"/>
        <v>30971102000000</v>
      </c>
      <c r="G107" s="5">
        <f t="shared" si="1"/>
        <v>30971102000000</v>
      </c>
      <c r="H107" s="5">
        <f t="shared" si="1"/>
        <v>30971102000000</v>
      </c>
      <c r="I107" s="5">
        <f t="shared" si="1"/>
        <v>30971102000000</v>
      </c>
      <c r="J107" s="5">
        <f t="shared" si="1"/>
        <v>30971102000000</v>
      </c>
      <c r="K107" s="5">
        <f t="shared" si="1"/>
        <v>30971102000000</v>
      </c>
      <c r="L107" s="5">
        <f t="shared" si="1"/>
        <v>30971102000000</v>
      </c>
      <c r="M107" s="5">
        <f t="shared" si="1"/>
        <v>30971102000000</v>
      </c>
      <c r="N107" s="5">
        <f t="shared" si="1"/>
        <v>30971102000000</v>
      </c>
      <c r="O107" s="5">
        <f t="shared" si="1"/>
        <v>30971102000000</v>
      </c>
      <c r="P107" s="5">
        <f t="shared" si="1"/>
        <v>30971102000000</v>
      </c>
      <c r="Q107" s="5">
        <f t="shared" si="1"/>
        <v>30971102000000</v>
      </c>
      <c r="R107" s="5">
        <f t="shared" si="1"/>
        <v>30971102000000</v>
      </c>
      <c r="S107" s="5">
        <f t="shared" si="1"/>
        <v>30971102000000</v>
      </c>
      <c r="T107" s="5">
        <f t="shared" si="1"/>
        <v>30971102000000</v>
      </c>
      <c r="U107" s="5">
        <f t="shared" si="1"/>
        <v>30971102000000</v>
      </c>
      <c r="V107" s="5">
        <f t="shared" si="1"/>
        <v>30971102000000</v>
      </c>
      <c r="W107" s="5">
        <f t="shared" si="1"/>
        <v>30971102000000</v>
      </c>
      <c r="X107" s="5">
        <f t="shared" si="1"/>
        <v>30971102000000</v>
      </c>
      <c r="Y107" s="5">
        <f t="shared" si="1"/>
        <v>30971102000000</v>
      </c>
      <c r="Z107" s="5">
        <f t="shared" si="1"/>
        <v>30971102000000</v>
      </c>
      <c r="AA107" s="5">
        <f t="shared" si="1"/>
        <v>30971102000000</v>
      </c>
      <c r="AB107" s="5">
        <f t="shared" si="1"/>
        <v>30971102000000</v>
      </c>
      <c r="AC107" s="5">
        <f t="shared" si="1"/>
        <v>30971102000000</v>
      </c>
      <c r="AD107" s="5">
        <f t="shared" si="1"/>
        <v>30971102000000</v>
      </c>
      <c r="AE107" s="5">
        <f t="shared" si="1"/>
        <v>30971102000000</v>
      </c>
      <c r="AF107" s="5">
        <f t="shared" si="1"/>
        <v>30971102000000</v>
      </c>
      <c r="AG107" s="5">
        <f t="shared" si="1"/>
        <v>30971102000000</v>
      </c>
      <c r="AH107" s="5">
        <f t="shared" si="1"/>
        <v>30971102000000</v>
      </c>
      <c r="AI107" s="5">
        <f t="shared" si="1"/>
        <v>30971102000000</v>
      </c>
      <c r="AJ107" s="5">
        <f t="shared" si="1"/>
        <v>30971102000000</v>
      </c>
    </row>
    <row r="108" spans="2:37">
      <c r="B108" s="5" t="s">
        <v>133</v>
      </c>
      <c r="C108" s="5">
        <f>C24*10^12</f>
        <v>202700989000000</v>
      </c>
      <c r="D108" s="5">
        <f t="shared" ref="D108:AJ108" si="2">D24*10^12</f>
        <v>202700989000000</v>
      </c>
      <c r="E108" s="5">
        <f t="shared" si="2"/>
        <v>202700989000000</v>
      </c>
      <c r="F108" s="5">
        <f t="shared" si="2"/>
        <v>208615479000000</v>
      </c>
      <c r="G108" s="5">
        <f t="shared" si="2"/>
        <v>204761292000000</v>
      </c>
      <c r="H108" s="5">
        <f t="shared" si="2"/>
        <v>201333435000000</v>
      </c>
      <c r="I108" s="5">
        <f t="shared" si="2"/>
        <v>197595566000000</v>
      </c>
      <c r="J108" s="5">
        <f t="shared" si="2"/>
        <v>192152771000000</v>
      </c>
      <c r="K108" s="5">
        <f t="shared" si="2"/>
        <v>188998978000000</v>
      </c>
      <c r="L108" s="5">
        <f t="shared" si="2"/>
        <v>183821869000000</v>
      </c>
      <c r="M108" s="5">
        <f t="shared" si="2"/>
        <v>179400681000000</v>
      </c>
      <c r="N108" s="5">
        <f t="shared" si="2"/>
        <v>181035568000000</v>
      </c>
      <c r="O108" s="5">
        <f t="shared" si="2"/>
        <v>177919800000000</v>
      </c>
      <c r="P108" s="5">
        <f t="shared" si="2"/>
        <v>178382324000000</v>
      </c>
      <c r="Q108" s="5">
        <f t="shared" si="2"/>
        <v>180619446000000</v>
      </c>
      <c r="R108" s="5">
        <f t="shared" si="2"/>
        <v>179868179000000</v>
      </c>
      <c r="S108" s="5">
        <f t="shared" si="2"/>
        <v>178195099000000</v>
      </c>
      <c r="T108" s="5">
        <f t="shared" si="2"/>
        <v>182565567000000</v>
      </c>
      <c r="U108" s="5">
        <f t="shared" si="2"/>
        <v>182076477000000</v>
      </c>
      <c r="V108" s="5">
        <f t="shared" si="2"/>
        <v>181930023000000</v>
      </c>
      <c r="W108" s="5">
        <f t="shared" si="2"/>
        <v>185526352000000</v>
      </c>
      <c r="X108" s="5">
        <f t="shared" si="2"/>
        <v>186070999000000</v>
      </c>
      <c r="Y108" s="5">
        <f t="shared" si="2"/>
        <v>185614532000000</v>
      </c>
      <c r="Z108" s="5">
        <f t="shared" si="2"/>
        <v>188380615000000</v>
      </c>
      <c r="AA108" s="5">
        <f t="shared" si="2"/>
        <v>189074509000000</v>
      </c>
      <c r="AB108" s="5">
        <f t="shared" si="2"/>
        <v>189086334000000</v>
      </c>
      <c r="AC108" s="5">
        <f t="shared" si="2"/>
        <v>191911087000000</v>
      </c>
      <c r="AD108" s="5">
        <f t="shared" si="2"/>
        <v>194197769000000</v>
      </c>
      <c r="AE108" s="5">
        <f t="shared" si="2"/>
        <v>197605118000000</v>
      </c>
      <c r="AF108" s="5">
        <f t="shared" si="2"/>
        <v>199144547000000</v>
      </c>
      <c r="AG108" s="5">
        <f t="shared" si="2"/>
        <v>200590317000000</v>
      </c>
      <c r="AH108" s="5">
        <f t="shared" si="2"/>
        <v>201088745000000</v>
      </c>
      <c r="AI108" s="5">
        <f t="shared" si="2"/>
        <v>201227921000000</v>
      </c>
      <c r="AJ108" s="5">
        <f t="shared" si="2"/>
        <v>201593689000000</v>
      </c>
    </row>
    <row r="109" spans="2:37">
      <c r="B109" s="5" t="s">
        <v>339</v>
      </c>
      <c r="C109" s="5">
        <f>C23*10^12</f>
        <v>783995972000000</v>
      </c>
      <c r="D109" s="5">
        <f t="shared" ref="D109:AJ109" si="3">D23*10^12</f>
        <v>782417969000000</v>
      </c>
      <c r="E109" s="5">
        <f t="shared" si="3"/>
        <v>802767883000000</v>
      </c>
      <c r="F109" s="5">
        <f t="shared" si="3"/>
        <v>837631226000000</v>
      </c>
      <c r="G109" s="5">
        <f t="shared" si="3"/>
        <v>838947266000000</v>
      </c>
      <c r="H109" s="5">
        <f t="shared" si="3"/>
        <v>840181335000000</v>
      </c>
      <c r="I109" s="5">
        <f t="shared" si="3"/>
        <v>841316956000000</v>
      </c>
      <c r="J109" s="5">
        <f t="shared" si="3"/>
        <v>844533508000000</v>
      </c>
      <c r="K109" s="5">
        <f t="shared" si="3"/>
        <v>845605103000000</v>
      </c>
      <c r="L109" s="5">
        <f t="shared" si="3"/>
        <v>845901733000000</v>
      </c>
      <c r="M109" s="5">
        <f t="shared" si="3"/>
        <v>846117615000000</v>
      </c>
      <c r="N109" s="5">
        <f t="shared" si="3"/>
        <v>851530518000000</v>
      </c>
      <c r="O109" s="5">
        <f t="shared" si="3"/>
        <v>852830872000000</v>
      </c>
      <c r="P109" s="5">
        <f t="shared" si="3"/>
        <v>855325012000000</v>
      </c>
      <c r="Q109" s="5">
        <f t="shared" si="3"/>
        <v>846386353000000</v>
      </c>
      <c r="R109" s="5">
        <f t="shared" si="3"/>
        <v>847307373000000</v>
      </c>
      <c r="S109" s="5">
        <f t="shared" si="3"/>
        <v>848445923000000</v>
      </c>
      <c r="T109" s="5">
        <f t="shared" si="3"/>
        <v>848728088000000</v>
      </c>
      <c r="U109" s="5">
        <f t="shared" si="3"/>
        <v>848773621000000</v>
      </c>
      <c r="V109" s="5">
        <f t="shared" si="3"/>
        <v>848779724000000</v>
      </c>
      <c r="W109" s="5">
        <f t="shared" si="3"/>
        <v>848771790000000</v>
      </c>
      <c r="X109" s="5">
        <f t="shared" si="3"/>
        <v>848746521000000</v>
      </c>
      <c r="Y109" s="5">
        <f t="shared" si="3"/>
        <v>848725830000000</v>
      </c>
      <c r="Z109" s="5">
        <f t="shared" si="3"/>
        <v>848697937000000</v>
      </c>
      <c r="AA109" s="5">
        <f t="shared" si="3"/>
        <v>848703186000000</v>
      </c>
      <c r="AB109" s="5">
        <f t="shared" si="3"/>
        <v>844511902000000</v>
      </c>
      <c r="AC109" s="5">
        <f t="shared" si="3"/>
        <v>840107117000000</v>
      </c>
      <c r="AD109" s="5">
        <f t="shared" si="3"/>
        <v>838935852000000</v>
      </c>
      <c r="AE109" s="5">
        <f t="shared" si="3"/>
        <v>837246155000000</v>
      </c>
      <c r="AF109" s="5">
        <f t="shared" si="3"/>
        <v>837239624000000</v>
      </c>
      <c r="AG109" s="5">
        <f t="shared" si="3"/>
        <v>837227173000000</v>
      </c>
      <c r="AH109" s="5">
        <f t="shared" si="3"/>
        <v>837215759000000</v>
      </c>
      <c r="AI109" s="5">
        <f t="shared" si="3"/>
        <v>837205627000000</v>
      </c>
      <c r="AJ109" s="5">
        <f t="shared" si="3"/>
        <v>837194214000000</v>
      </c>
    </row>
    <row r="112" spans="2:37">
      <c r="C112" s="5" t="s">
        <v>957</v>
      </c>
    </row>
    <row r="113" spans="3:14">
      <c r="C113" s="5">
        <f>(((C93-Refineries!C98)*'AEO Table 73'!C48+Refineries!C96*'AEO Table 73'!C49)/SUM(Refineries!C93,Refineries!C96,-Refineries!C98))</f>
        <v>5.8714026648900735</v>
      </c>
      <c r="D113" s="5" t="s">
        <v>956</v>
      </c>
    </row>
    <row r="114" spans="3:14">
      <c r="C114" s="5" t="s">
        <v>955</v>
      </c>
    </row>
    <row r="118" spans="3:14">
      <c r="N118" s="5">
        <f>AJ105-C105</f>
        <v>778359667059216</v>
      </c>
    </row>
    <row r="119" spans="3:14">
      <c r="N119" s="5">
        <f>N118/(2050-2017)</f>
        <v>23586656577552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topLeftCell="B96" workbookViewId="0">
      <selection activeCell="C114" sqref="C114"/>
    </sheetView>
  </sheetViews>
  <sheetFormatPr defaultColWidth="9.1328125" defaultRowHeight="14.25"/>
  <cols>
    <col min="1" max="1" width="20.796875" style="5" hidden="1" customWidth="1"/>
    <col min="2" max="2" width="45.6640625" style="5" customWidth="1"/>
    <col min="3" max="16384" width="9.1328125" style="5"/>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93" t="s">
        <v>143</v>
      </c>
      <c r="D3" s="93" t="s">
        <v>118</v>
      </c>
      <c r="E3" s="93"/>
      <c r="F3" s="93"/>
      <c r="G3" s="93"/>
    </row>
    <row r="4" spans="1:37" ht="15" customHeight="1">
      <c r="C4" s="93" t="s">
        <v>144</v>
      </c>
      <c r="D4" s="93" t="s">
        <v>145</v>
      </c>
      <c r="E4" s="93"/>
      <c r="F4" s="93"/>
      <c r="G4" s="93" t="s">
        <v>146</v>
      </c>
    </row>
    <row r="5" spans="1:37" ht="15" customHeight="1">
      <c r="C5" s="93" t="s">
        <v>147</v>
      </c>
      <c r="D5" s="93" t="s">
        <v>148</v>
      </c>
      <c r="E5" s="93"/>
      <c r="F5" s="93"/>
      <c r="G5" s="93"/>
    </row>
    <row r="6" spans="1:37" ht="15" customHeight="1">
      <c r="C6" s="93" t="s">
        <v>149</v>
      </c>
      <c r="D6" s="93"/>
      <c r="E6" s="93" t="s">
        <v>150</v>
      </c>
      <c r="F6" s="93"/>
      <c r="G6" s="93"/>
    </row>
    <row r="10" spans="1:37" ht="15" customHeight="1">
      <c r="A10" s="94" t="s">
        <v>345</v>
      </c>
      <c r="B10" s="57" t="s">
        <v>346</v>
      </c>
    </row>
    <row r="11" spans="1:37" ht="15" customHeight="1">
      <c r="B11" s="53" t="s">
        <v>317</v>
      </c>
    </row>
    <row r="12" spans="1:37" ht="15" customHeight="1">
      <c r="B12" s="53" t="s">
        <v>153</v>
      </c>
      <c r="C12" s="50" t="s">
        <v>153</v>
      </c>
      <c r="D12" s="50" t="s">
        <v>153</v>
      </c>
      <c r="E12" s="50" t="s">
        <v>153</v>
      </c>
      <c r="F12" s="50" t="s">
        <v>153</v>
      </c>
      <c r="G12" s="50" t="s">
        <v>153</v>
      </c>
      <c r="H12" s="50" t="s">
        <v>153</v>
      </c>
      <c r="I12" s="50" t="s">
        <v>153</v>
      </c>
      <c r="J12" s="50" t="s">
        <v>153</v>
      </c>
      <c r="K12" s="50" t="s">
        <v>153</v>
      </c>
      <c r="L12" s="50" t="s">
        <v>153</v>
      </c>
      <c r="M12" s="50" t="s">
        <v>153</v>
      </c>
      <c r="N12" s="50" t="s">
        <v>153</v>
      </c>
      <c r="O12" s="50" t="s">
        <v>153</v>
      </c>
      <c r="P12" s="50" t="s">
        <v>153</v>
      </c>
      <c r="Q12" s="50" t="s">
        <v>153</v>
      </c>
      <c r="R12" s="50" t="s">
        <v>153</v>
      </c>
      <c r="S12" s="50" t="s">
        <v>153</v>
      </c>
      <c r="T12" s="50" t="s">
        <v>153</v>
      </c>
      <c r="U12" s="50" t="s">
        <v>153</v>
      </c>
      <c r="V12" s="50" t="s">
        <v>153</v>
      </c>
      <c r="W12" s="50" t="s">
        <v>153</v>
      </c>
      <c r="X12" s="50" t="s">
        <v>153</v>
      </c>
      <c r="Y12" s="50" t="s">
        <v>153</v>
      </c>
      <c r="Z12" s="50" t="s">
        <v>153</v>
      </c>
      <c r="AA12" s="50" t="s">
        <v>153</v>
      </c>
      <c r="AB12" s="50" t="s">
        <v>153</v>
      </c>
      <c r="AC12" s="50" t="s">
        <v>153</v>
      </c>
      <c r="AD12" s="50" t="s">
        <v>153</v>
      </c>
      <c r="AE12" s="50" t="s">
        <v>153</v>
      </c>
      <c r="AF12" s="50" t="s">
        <v>153</v>
      </c>
      <c r="AG12" s="50" t="s">
        <v>153</v>
      </c>
      <c r="AH12" s="50" t="s">
        <v>153</v>
      </c>
      <c r="AI12" s="50" t="s">
        <v>153</v>
      </c>
      <c r="AJ12" s="50" t="s">
        <v>153</v>
      </c>
      <c r="AK12" s="50" t="s">
        <v>154</v>
      </c>
    </row>
    <row r="13" spans="1:37" ht="15" customHeight="1" thickBot="1">
      <c r="B13" s="54" t="s">
        <v>347</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row r="15" spans="1:37" ht="15" customHeight="1">
      <c r="A15" s="94" t="s">
        <v>348</v>
      </c>
      <c r="B15" s="59" t="s">
        <v>349</v>
      </c>
      <c r="C15" s="65">
        <v>15428.980469</v>
      </c>
      <c r="D15" s="65">
        <v>15405.497069999999</v>
      </c>
      <c r="E15" s="65">
        <v>15323.708984000001</v>
      </c>
      <c r="F15" s="65">
        <v>15159.971680000001</v>
      </c>
      <c r="G15" s="65">
        <v>14917.845703000001</v>
      </c>
      <c r="H15" s="65">
        <v>14628.935546999999</v>
      </c>
      <c r="I15" s="65">
        <v>14292.073242</v>
      </c>
      <c r="J15" s="65">
        <v>13935.911133</v>
      </c>
      <c r="K15" s="65">
        <v>13565.998046999999</v>
      </c>
      <c r="L15" s="65">
        <v>13277.203125</v>
      </c>
      <c r="M15" s="65">
        <v>13019.744140999999</v>
      </c>
      <c r="N15" s="65">
        <v>12784.965819999999</v>
      </c>
      <c r="O15" s="65">
        <v>12550.357421999999</v>
      </c>
      <c r="P15" s="65">
        <v>12335.547852</v>
      </c>
      <c r="Q15" s="65">
        <v>12134.970703000001</v>
      </c>
      <c r="R15" s="65">
        <v>11949.124023</v>
      </c>
      <c r="S15" s="65">
        <v>11778.060546999999</v>
      </c>
      <c r="T15" s="65">
        <v>11621.788086</v>
      </c>
      <c r="U15" s="65">
        <v>11477.595703000001</v>
      </c>
      <c r="V15" s="65">
        <v>11370.867188</v>
      </c>
      <c r="W15" s="65">
        <v>11287.214844</v>
      </c>
      <c r="X15" s="65">
        <v>11223.201171999999</v>
      </c>
      <c r="Y15" s="65">
        <v>11175.604492</v>
      </c>
      <c r="Z15" s="65">
        <v>11142.942383</v>
      </c>
      <c r="AA15" s="65">
        <v>11122.249023</v>
      </c>
      <c r="AB15" s="65">
        <v>11112.762694999999</v>
      </c>
      <c r="AC15" s="65">
        <v>11114.8125</v>
      </c>
      <c r="AD15" s="65">
        <v>11125.955078000001</v>
      </c>
      <c r="AE15" s="65">
        <v>11141.640625</v>
      </c>
      <c r="AF15" s="65">
        <v>11164.966796999999</v>
      </c>
      <c r="AG15" s="65">
        <v>11191.121094</v>
      </c>
      <c r="AH15" s="65">
        <v>11216.115234000001</v>
      </c>
      <c r="AI15" s="65">
        <v>11244.188477</v>
      </c>
      <c r="AJ15" s="65">
        <v>11271.484375</v>
      </c>
      <c r="AK15" s="66">
        <v>-9.7169999999999999E-3</v>
      </c>
    </row>
    <row r="16" spans="1:37" ht="15" customHeight="1">
      <c r="A16" s="94" t="s">
        <v>350</v>
      </c>
      <c r="B16" s="60" t="s">
        <v>351</v>
      </c>
      <c r="C16" s="95">
        <v>15335.150390999999</v>
      </c>
      <c r="D16" s="95">
        <v>15269.456055000001</v>
      </c>
      <c r="E16" s="95">
        <v>15169.746094</v>
      </c>
      <c r="F16" s="95">
        <v>14974.8125</v>
      </c>
      <c r="G16" s="95">
        <v>14696.188477</v>
      </c>
      <c r="H16" s="95">
        <v>14372.848633</v>
      </c>
      <c r="I16" s="95">
        <v>14004.568359000001</v>
      </c>
      <c r="J16" s="95">
        <v>13595.412109000001</v>
      </c>
      <c r="K16" s="95">
        <v>13161.477539</v>
      </c>
      <c r="L16" s="95">
        <v>12844.557617</v>
      </c>
      <c r="M16" s="95">
        <v>12544.257812</v>
      </c>
      <c r="N16" s="95">
        <v>12271.507812</v>
      </c>
      <c r="O16" s="95">
        <v>11997.8125</v>
      </c>
      <c r="P16" s="95">
        <v>11740.967773</v>
      </c>
      <c r="Q16" s="95">
        <v>11512.417969</v>
      </c>
      <c r="R16" s="95">
        <v>11302.257812</v>
      </c>
      <c r="S16" s="95">
        <v>11104.021484000001</v>
      </c>
      <c r="T16" s="95">
        <v>10915.162109000001</v>
      </c>
      <c r="U16" s="95">
        <v>10746.730469</v>
      </c>
      <c r="V16" s="95">
        <v>10612.404296999999</v>
      </c>
      <c r="W16" s="95">
        <v>10502.84375</v>
      </c>
      <c r="X16" s="95">
        <v>10416.008789</v>
      </c>
      <c r="Y16" s="95">
        <v>10350.127930000001</v>
      </c>
      <c r="Z16" s="95">
        <v>10299.679688</v>
      </c>
      <c r="AA16" s="95">
        <v>10269.910156</v>
      </c>
      <c r="AB16" s="95">
        <v>10251.455078000001</v>
      </c>
      <c r="AC16" s="95">
        <v>10250.534180000001</v>
      </c>
      <c r="AD16" s="95">
        <v>10253.911133</v>
      </c>
      <c r="AE16" s="95">
        <v>10260.729492</v>
      </c>
      <c r="AF16" s="95">
        <v>10292.284180000001</v>
      </c>
      <c r="AG16" s="95">
        <v>10333.274414</v>
      </c>
      <c r="AH16" s="95">
        <v>10360.221680000001</v>
      </c>
      <c r="AI16" s="95">
        <v>10370.962890999999</v>
      </c>
      <c r="AJ16" s="95">
        <v>10381.070312</v>
      </c>
      <c r="AK16" s="62">
        <v>-1.1986E-2</v>
      </c>
    </row>
    <row r="17" spans="1:37" ht="15" customHeight="1">
      <c r="A17" s="94" t="s">
        <v>352</v>
      </c>
      <c r="B17" s="60" t="s">
        <v>353</v>
      </c>
      <c r="C17" s="95">
        <v>9.1569839999999996</v>
      </c>
      <c r="D17" s="95">
        <v>43.012703000000002</v>
      </c>
      <c r="E17" s="95">
        <v>44.298954000000002</v>
      </c>
      <c r="F17" s="95">
        <v>52.465949999999999</v>
      </c>
      <c r="G17" s="95">
        <v>63.491283000000003</v>
      </c>
      <c r="H17" s="95">
        <v>71.578002999999995</v>
      </c>
      <c r="I17" s="95">
        <v>77.357467999999997</v>
      </c>
      <c r="J17" s="95">
        <v>104.88159899999999</v>
      </c>
      <c r="K17" s="95">
        <v>143.47879</v>
      </c>
      <c r="L17" s="95">
        <v>146.330536</v>
      </c>
      <c r="M17" s="95">
        <v>164.73542800000001</v>
      </c>
      <c r="N17" s="95">
        <v>178.723511</v>
      </c>
      <c r="O17" s="95">
        <v>194.286621</v>
      </c>
      <c r="P17" s="95">
        <v>212.83853099999999</v>
      </c>
      <c r="Q17" s="95">
        <v>217.02877799999999</v>
      </c>
      <c r="R17" s="95">
        <v>218.706253</v>
      </c>
      <c r="S17" s="95">
        <v>224.127533</v>
      </c>
      <c r="T17" s="95">
        <v>235.04330400000001</v>
      </c>
      <c r="U17" s="95">
        <v>238.42449999999999</v>
      </c>
      <c r="V17" s="95">
        <v>244.75335699999999</v>
      </c>
      <c r="W17" s="95">
        <v>249.607956</v>
      </c>
      <c r="X17" s="95">
        <v>251.68942300000001</v>
      </c>
      <c r="Y17" s="95">
        <v>249.42179899999999</v>
      </c>
      <c r="Z17" s="95">
        <v>246.14849899999999</v>
      </c>
      <c r="AA17" s="95">
        <v>234.973389</v>
      </c>
      <c r="AB17" s="95">
        <v>224.71127300000001</v>
      </c>
      <c r="AC17" s="95">
        <v>208.83667</v>
      </c>
      <c r="AD17" s="95">
        <v>198.043747</v>
      </c>
      <c r="AE17" s="95">
        <v>188.86973599999999</v>
      </c>
      <c r="AF17" s="95">
        <v>162.43597399999999</v>
      </c>
      <c r="AG17" s="95">
        <v>129.59371899999999</v>
      </c>
      <c r="AH17" s="95">
        <v>109.988777</v>
      </c>
      <c r="AI17" s="95">
        <v>109.858192</v>
      </c>
      <c r="AJ17" s="95">
        <v>110.01675400000001</v>
      </c>
      <c r="AK17" s="62">
        <v>2.9783E-2</v>
      </c>
    </row>
    <row r="18" spans="1:37" ht="15" customHeight="1">
      <c r="A18" s="94" t="s">
        <v>354</v>
      </c>
      <c r="B18" s="60" t="s">
        <v>355</v>
      </c>
      <c r="C18" s="95">
        <v>60.853920000000002</v>
      </c>
      <c r="D18" s="95">
        <v>63.207065999999998</v>
      </c>
      <c r="E18" s="95">
        <v>68.963806000000005</v>
      </c>
      <c r="F18" s="95">
        <v>77.644913000000003</v>
      </c>
      <c r="G18" s="95">
        <v>85.732367999999994</v>
      </c>
      <c r="H18" s="95">
        <v>93.502289000000005</v>
      </c>
      <c r="I18" s="95">
        <v>100.80136899999999</v>
      </c>
      <c r="J18" s="95">
        <v>107.598206</v>
      </c>
      <c r="K18" s="95">
        <v>113.814278</v>
      </c>
      <c r="L18" s="95">
        <v>120.602844</v>
      </c>
      <c r="M18" s="95">
        <v>127.269402</v>
      </c>
      <c r="N18" s="95">
        <v>134.14170799999999</v>
      </c>
      <c r="O18" s="95">
        <v>140.60813899999999</v>
      </c>
      <c r="P18" s="95">
        <v>147.05969200000001</v>
      </c>
      <c r="Q18" s="95">
        <v>153.66433699999999</v>
      </c>
      <c r="R18" s="95">
        <v>159.30062899999999</v>
      </c>
      <c r="S18" s="95">
        <v>164.19001800000001</v>
      </c>
      <c r="T18" s="95">
        <v>168.79711900000001</v>
      </c>
      <c r="U18" s="95">
        <v>172.647324</v>
      </c>
      <c r="V18" s="95">
        <v>176.17077599999999</v>
      </c>
      <c r="W18" s="95">
        <v>179.40422100000001</v>
      </c>
      <c r="X18" s="95">
        <v>182.19274899999999</v>
      </c>
      <c r="Y18" s="95">
        <v>184.536057</v>
      </c>
      <c r="Z18" s="95">
        <v>187.16952499999999</v>
      </c>
      <c r="AA18" s="95">
        <v>189.247086</v>
      </c>
      <c r="AB18" s="95">
        <v>190.379639</v>
      </c>
      <c r="AC18" s="95">
        <v>191.20649700000001</v>
      </c>
      <c r="AD18" s="95">
        <v>191.812073</v>
      </c>
      <c r="AE18" s="95">
        <v>192.10318000000001</v>
      </c>
      <c r="AF18" s="95">
        <v>192.425049</v>
      </c>
      <c r="AG18" s="95">
        <v>192.67849699999999</v>
      </c>
      <c r="AH18" s="95">
        <v>192.679214</v>
      </c>
      <c r="AI18" s="95">
        <v>192.53387499999999</v>
      </c>
      <c r="AJ18" s="95">
        <v>192.14184599999999</v>
      </c>
      <c r="AK18" s="62">
        <v>3.5354999999999998E-2</v>
      </c>
    </row>
    <row r="19" spans="1:37" ht="15" customHeight="1">
      <c r="A19" s="94" t="s">
        <v>356</v>
      </c>
      <c r="B19" s="60" t="s">
        <v>260</v>
      </c>
      <c r="C19" s="95">
        <v>8.0770090000000003</v>
      </c>
      <c r="D19" s="95">
        <v>6.9962720000000003</v>
      </c>
      <c r="E19" s="95">
        <v>5.8007540000000004</v>
      </c>
      <c r="F19" s="95">
        <v>5.3308289999999996</v>
      </c>
      <c r="G19" s="95">
        <v>5.01966</v>
      </c>
      <c r="H19" s="95">
        <v>4.7176429999999998</v>
      </c>
      <c r="I19" s="95">
        <v>4.4306369999999999</v>
      </c>
      <c r="J19" s="95">
        <v>4.1541180000000004</v>
      </c>
      <c r="K19" s="95">
        <v>3.9036010000000001</v>
      </c>
      <c r="L19" s="95">
        <v>3.6813410000000002</v>
      </c>
      <c r="M19" s="95">
        <v>3.4967679999999999</v>
      </c>
      <c r="N19" s="95">
        <v>3.33005</v>
      </c>
      <c r="O19" s="95">
        <v>3.1806969999999999</v>
      </c>
      <c r="P19" s="95">
        <v>3.0464380000000002</v>
      </c>
      <c r="Q19" s="95">
        <v>2.9362509999999999</v>
      </c>
      <c r="R19" s="95">
        <v>2.8520979999999998</v>
      </c>
      <c r="S19" s="95">
        <v>2.7820170000000002</v>
      </c>
      <c r="T19" s="95">
        <v>2.7439550000000001</v>
      </c>
      <c r="U19" s="95">
        <v>2.7154440000000002</v>
      </c>
      <c r="V19" s="95">
        <v>2.698159</v>
      </c>
      <c r="W19" s="95">
        <v>2.6841900000000001</v>
      </c>
      <c r="X19" s="95">
        <v>2.6790980000000002</v>
      </c>
      <c r="Y19" s="95">
        <v>2.6781470000000001</v>
      </c>
      <c r="Z19" s="95">
        <v>2.6794039999999999</v>
      </c>
      <c r="AA19" s="95">
        <v>2.6922079999999999</v>
      </c>
      <c r="AB19" s="95">
        <v>2.7077149999999999</v>
      </c>
      <c r="AC19" s="95">
        <v>2.7216269999999998</v>
      </c>
      <c r="AD19" s="95">
        <v>2.7357770000000001</v>
      </c>
      <c r="AE19" s="95">
        <v>2.7523939999999998</v>
      </c>
      <c r="AF19" s="95">
        <v>2.7694559999999999</v>
      </c>
      <c r="AG19" s="95">
        <v>2.7865679999999999</v>
      </c>
      <c r="AH19" s="95">
        <v>2.8049050000000002</v>
      </c>
      <c r="AI19" s="95">
        <v>2.818092</v>
      </c>
      <c r="AJ19" s="95">
        <v>2.8305720000000001</v>
      </c>
      <c r="AK19" s="62">
        <v>-2.7882000000000001E-2</v>
      </c>
    </row>
    <row r="20" spans="1:37" ht="15" customHeight="1">
      <c r="A20" s="94" t="s">
        <v>357</v>
      </c>
      <c r="B20" s="60" t="s">
        <v>358</v>
      </c>
      <c r="C20" s="95">
        <v>3.931244</v>
      </c>
      <c r="D20" s="95">
        <v>4.3265010000000004</v>
      </c>
      <c r="E20" s="95">
        <v>4.0624180000000001</v>
      </c>
      <c r="F20" s="95">
        <v>3.9512130000000001</v>
      </c>
      <c r="G20" s="95">
        <v>3.6753840000000002</v>
      </c>
      <c r="H20" s="95">
        <v>3.3939149999999998</v>
      </c>
      <c r="I20" s="95">
        <v>3.1845400000000001</v>
      </c>
      <c r="J20" s="95">
        <v>2.967552</v>
      </c>
      <c r="K20" s="95">
        <v>2.772993</v>
      </c>
      <c r="L20" s="95">
        <v>2.5952959999999998</v>
      </c>
      <c r="M20" s="95">
        <v>2.482469</v>
      </c>
      <c r="N20" s="95">
        <v>2.3604159999999998</v>
      </c>
      <c r="O20" s="95">
        <v>2.2681010000000001</v>
      </c>
      <c r="P20" s="95">
        <v>2.162544</v>
      </c>
      <c r="Q20" s="95">
        <v>2.0674649999999999</v>
      </c>
      <c r="R20" s="95">
        <v>2.0058319999999998</v>
      </c>
      <c r="S20" s="95">
        <v>1.9528559999999999</v>
      </c>
      <c r="T20" s="95">
        <v>1.926577</v>
      </c>
      <c r="U20" s="95">
        <v>1.9053199999999999</v>
      </c>
      <c r="V20" s="95">
        <v>1.8984559999999999</v>
      </c>
      <c r="W20" s="95">
        <v>1.8916489999999999</v>
      </c>
      <c r="X20" s="95">
        <v>1.898957</v>
      </c>
      <c r="Y20" s="95">
        <v>1.910733</v>
      </c>
      <c r="Z20" s="95">
        <v>1.9252130000000001</v>
      </c>
      <c r="AA20" s="95">
        <v>1.9521839999999999</v>
      </c>
      <c r="AB20" s="95">
        <v>1.9897940000000001</v>
      </c>
      <c r="AC20" s="95">
        <v>2.0224250000000001</v>
      </c>
      <c r="AD20" s="95">
        <v>2.0561579999999999</v>
      </c>
      <c r="AE20" s="95">
        <v>2.0949239999999998</v>
      </c>
      <c r="AF20" s="95">
        <v>2.138347</v>
      </c>
      <c r="AG20" s="95">
        <v>2.1827390000000002</v>
      </c>
      <c r="AH20" s="95">
        <v>2.2323110000000002</v>
      </c>
      <c r="AI20" s="95">
        <v>2.279563</v>
      </c>
      <c r="AJ20" s="95">
        <v>2.3288139999999999</v>
      </c>
      <c r="AK20" s="62">
        <v>-1.917E-2</v>
      </c>
    </row>
    <row r="21" spans="1:37" ht="15" customHeight="1">
      <c r="A21" s="94" t="s">
        <v>359</v>
      </c>
      <c r="B21" s="60" t="s">
        <v>320</v>
      </c>
      <c r="C21" s="95">
        <v>11.537136</v>
      </c>
      <c r="D21" s="95">
        <v>17.900618000000001</v>
      </c>
      <c r="E21" s="95">
        <v>29.66337</v>
      </c>
      <c r="F21" s="95">
        <v>43.691540000000003</v>
      </c>
      <c r="G21" s="95">
        <v>60.113934</v>
      </c>
      <c r="H21" s="95">
        <v>77.175849999999997</v>
      </c>
      <c r="I21" s="95">
        <v>94.003890999999996</v>
      </c>
      <c r="J21" s="95">
        <v>111.052177</v>
      </c>
      <c r="K21" s="95">
        <v>128.48336800000001</v>
      </c>
      <c r="L21" s="95">
        <v>145.28533899999999</v>
      </c>
      <c r="M21" s="95">
        <v>161.43392900000001</v>
      </c>
      <c r="N21" s="95">
        <v>177.16246000000001</v>
      </c>
      <c r="O21" s="95">
        <v>192.89389</v>
      </c>
      <c r="P21" s="95">
        <v>208.73147599999999</v>
      </c>
      <c r="Q21" s="95">
        <v>224.82223500000001</v>
      </c>
      <c r="R21" s="95">
        <v>240.96106</v>
      </c>
      <c r="S21" s="95">
        <v>257.17175300000002</v>
      </c>
      <c r="T21" s="95">
        <v>273.62857100000002</v>
      </c>
      <c r="U21" s="95">
        <v>290.11511200000001</v>
      </c>
      <c r="V21" s="95">
        <v>307.36251800000002</v>
      </c>
      <c r="W21" s="95">
        <v>324.78741500000001</v>
      </c>
      <c r="X21" s="95">
        <v>342.39038099999999</v>
      </c>
      <c r="Y21" s="95">
        <v>360.27218599999998</v>
      </c>
      <c r="Z21" s="95">
        <v>378.38275099999998</v>
      </c>
      <c r="AA21" s="95">
        <v>396.28463699999998</v>
      </c>
      <c r="AB21" s="95">
        <v>414.11938500000002</v>
      </c>
      <c r="AC21" s="95">
        <v>431.90869099999998</v>
      </c>
      <c r="AD21" s="95">
        <v>449.652466</v>
      </c>
      <c r="AE21" s="95">
        <v>467.21533199999999</v>
      </c>
      <c r="AF21" s="95">
        <v>484.91217</v>
      </c>
      <c r="AG21" s="95">
        <v>502.46365400000002</v>
      </c>
      <c r="AH21" s="95">
        <v>519.88464399999998</v>
      </c>
      <c r="AI21" s="95">
        <v>537.254456</v>
      </c>
      <c r="AJ21" s="95">
        <v>554.416382</v>
      </c>
      <c r="AK21" s="62">
        <v>0.11325</v>
      </c>
    </row>
    <row r="22" spans="1:37" ht="15" customHeight="1">
      <c r="A22" s="94" t="s">
        <v>360</v>
      </c>
      <c r="B22" s="60" t="s">
        <v>361</v>
      </c>
      <c r="C22" s="95">
        <v>0.27376</v>
      </c>
      <c r="D22" s="95">
        <v>0.59876600000000002</v>
      </c>
      <c r="E22" s="95">
        <v>1.173962</v>
      </c>
      <c r="F22" s="95">
        <v>2.074811</v>
      </c>
      <c r="G22" s="95">
        <v>3.6237200000000001</v>
      </c>
      <c r="H22" s="95">
        <v>5.7200490000000004</v>
      </c>
      <c r="I22" s="95">
        <v>7.7269990000000002</v>
      </c>
      <c r="J22" s="95">
        <v>9.8447119999999995</v>
      </c>
      <c r="K22" s="95">
        <v>12.067842000000001</v>
      </c>
      <c r="L22" s="95">
        <v>14.150493000000001</v>
      </c>
      <c r="M22" s="95">
        <v>16.068527</v>
      </c>
      <c r="N22" s="95">
        <v>17.740499</v>
      </c>
      <c r="O22" s="95">
        <v>19.306999000000001</v>
      </c>
      <c r="P22" s="95">
        <v>20.741416999999998</v>
      </c>
      <c r="Q22" s="95">
        <v>22.034424000000001</v>
      </c>
      <c r="R22" s="95">
        <v>23.040400000000002</v>
      </c>
      <c r="S22" s="95">
        <v>23.813354</v>
      </c>
      <c r="T22" s="95">
        <v>24.486129999999999</v>
      </c>
      <c r="U22" s="95">
        <v>25.056366000000001</v>
      </c>
      <c r="V22" s="95">
        <v>25.579964</v>
      </c>
      <c r="W22" s="95">
        <v>25.995058</v>
      </c>
      <c r="X22" s="95">
        <v>26.341857999999998</v>
      </c>
      <c r="Y22" s="95">
        <v>26.657215000000001</v>
      </c>
      <c r="Z22" s="95">
        <v>26.957090000000001</v>
      </c>
      <c r="AA22" s="95">
        <v>27.189185999999999</v>
      </c>
      <c r="AB22" s="95">
        <v>27.399198999999999</v>
      </c>
      <c r="AC22" s="95">
        <v>27.583216</v>
      </c>
      <c r="AD22" s="95">
        <v>27.742733000000001</v>
      </c>
      <c r="AE22" s="95">
        <v>27.874962</v>
      </c>
      <c r="AF22" s="95">
        <v>28.002413000000001</v>
      </c>
      <c r="AG22" s="95">
        <v>28.141259999999999</v>
      </c>
      <c r="AH22" s="95">
        <v>28.302531999999999</v>
      </c>
      <c r="AI22" s="95">
        <v>28.480495000000001</v>
      </c>
      <c r="AJ22" s="95">
        <v>28.679655</v>
      </c>
      <c r="AK22" s="62">
        <v>0.128522</v>
      </c>
    </row>
    <row r="24" spans="1:37" ht="15" customHeight="1">
      <c r="A24" s="94" t="s">
        <v>362</v>
      </c>
      <c r="B24" s="59" t="s">
        <v>363</v>
      </c>
      <c r="C24" s="65">
        <v>886.89825399999995</v>
      </c>
      <c r="D24" s="65">
        <v>901.04919400000006</v>
      </c>
      <c r="E24" s="65">
        <v>913.30731200000002</v>
      </c>
      <c r="F24" s="65">
        <v>917.23217799999998</v>
      </c>
      <c r="G24" s="65">
        <v>916.86462400000005</v>
      </c>
      <c r="H24" s="65">
        <v>915.28680399999996</v>
      </c>
      <c r="I24" s="65">
        <v>913.37457300000005</v>
      </c>
      <c r="J24" s="65">
        <v>910.667236</v>
      </c>
      <c r="K24" s="65">
        <v>911.52050799999995</v>
      </c>
      <c r="L24" s="65">
        <v>912.30297900000005</v>
      </c>
      <c r="M24" s="65">
        <v>912.036743</v>
      </c>
      <c r="N24" s="65">
        <v>913.76531999999997</v>
      </c>
      <c r="O24" s="65">
        <v>913.86468500000001</v>
      </c>
      <c r="P24" s="65">
        <v>913.95062299999995</v>
      </c>
      <c r="Q24" s="65">
        <v>916.18102999999996</v>
      </c>
      <c r="R24" s="65">
        <v>919.21929899999998</v>
      </c>
      <c r="S24" s="65">
        <v>923.73584000000005</v>
      </c>
      <c r="T24" s="65">
        <v>929.93817100000001</v>
      </c>
      <c r="U24" s="65">
        <v>937.46362299999998</v>
      </c>
      <c r="V24" s="65">
        <v>945.92535399999997</v>
      </c>
      <c r="W24" s="65">
        <v>955.72406000000001</v>
      </c>
      <c r="X24" s="65">
        <v>966.26245100000006</v>
      </c>
      <c r="Y24" s="65">
        <v>975.91790800000001</v>
      </c>
      <c r="Z24" s="65">
        <v>985.93042000000003</v>
      </c>
      <c r="AA24" s="65">
        <v>996.26336700000002</v>
      </c>
      <c r="AB24" s="65">
        <v>1006.739807</v>
      </c>
      <c r="AC24" s="65">
        <v>1018.405029</v>
      </c>
      <c r="AD24" s="65">
        <v>1030.961182</v>
      </c>
      <c r="AE24" s="65">
        <v>1044.946899</v>
      </c>
      <c r="AF24" s="65">
        <v>1059.743164</v>
      </c>
      <c r="AG24" s="65">
        <v>1074.5489500000001</v>
      </c>
      <c r="AH24" s="65">
        <v>1088.340698</v>
      </c>
      <c r="AI24" s="65">
        <v>1102.0864260000001</v>
      </c>
      <c r="AJ24" s="65">
        <v>1115.861206</v>
      </c>
      <c r="AK24" s="66">
        <v>6.7039999999999999E-3</v>
      </c>
    </row>
    <row r="25" spans="1:37" ht="15" customHeight="1">
      <c r="A25" s="94" t="s">
        <v>364</v>
      </c>
      <c r="B25" s="60" t="s">
        <v>351</v>
      </c>
      <c r="C25" s="95">
        <v>606.36535600000002</v>
      </c>
      <c r="D25" s="95">
        <v>605.30755599999998</v>
      </c>
      <c r="E25" s="95">
        <v>607.949524</v>
      </c>
      <c r="F25" s="95">
        <v>604.13769500000001</v>
      </c>
      <c r="G25" s="95">
        <v>596.90875200000005</v>
      </c>
      <c r="H25" s="95">
        <v>589.81463599999995</v>
      </c>
      <c r="I25" s="95">
        <v>582.98095699999999</v>
      </c>
      <c r="J25" s="95">
        <v>571.22607400000004</v>
      </c>
      <c r="K25" s="95">
        <v>558.56311000000005</v>
      </c>
      <c r="L25" s="95">
        <v>555.41857900000002</v>
      </c>
      <c r="M25" s="95">
        <v>547.30902100000003</v>
      </c>
      <c r="N25" s="95">
        <v>541.48974599999997</v>
      </c>
      <c r="O25" s="95">
        <v>534.28338599999995</v>
      </c>
      <c r="P25" s="95">
        <v>526.783142</v>
      </c>
      <c r="Q25" s="95">
        <v>523.71209699999997</v>
      </c>
      <c r="R25" s="95">
        <v>523.11547900000005</v>
      </c>
      <c r="S25" s="95">
        <v>521.33709699999997</v>
      </c>
      <c r="T25" s="95">
        <v>519.05609100000004</v>
      </c>
      <c r="U25" s="95">
        <v>520.57098399999995</v>
      </c>
      <c r="V25" s="95">
        <v>521.24829099999999</v>
      </c>
      <c r="W25" s="95">
        <v>524.30822799999999</v>
      </c>
      <c r="X25" s="95">
        <v>529.17877199999998</v>
      </c>
      <c r="Y25" s="95">
        <v>536.13806199999999</v>
      </c>
      <c r="Z25" s="95">
        <v>543.30438200000003</v>
      </c>
      <c r="AA25" s="95">
        <v>554.95043899999996</v>
      </c>
      <c r="AB25" s="95">
        <v>565.55859399999997</v>
      </c>
      <c r="AC25" s="95">
        <v>579.68866000000003</v>
      </c>
      <c r="AD25" s="95">
        <v>591.68261700000005</v>
      </c>
      <c r="AE25" s="95">
        <v>603.73230000000001</v>
      </c>
      <c r="AF25" s="95">
        <v>627.194885</v>
      </c>
      <c r="AG25" s="95">
        <v>656.53930700000001</v>
      </c>
      <c r="AH25" s="95">
        <v>678.30609100000004</v>
      </c>
      <c r="AI25" s="95">
        <v>686.05108600000005</v>
      </c>
      <c r="AJ25" s="95">
        <v>693.75091599999996</v>
      </c>
      <c r="AK25" s="62">
        <v>4.2709999999999996E-3</v>
      </c>
    </row>
    <row r="26" spans="1:37" ht="15" customHeight="1">
      <c r="A26" s="94" t="s">
        <v>365</v>
      </c>
      <c r="B26" s="60" t="s">
        <v>353</v>
      </c>
      <c r="C26" s="95">
        <v>1.2694559999999999</v>
      </c>
      <c r="D26" s="95">
        <v>6.8000879999999997</v>
      </c>
      <c r="E26" s="95">
        <v>7.8485060000000004</v>
      </c>
      <c r="F26" s="95">
        <v>10.106413999999999</v>
      </c>
      <c r="G26" s="95">
        <v>13.157337</v>
      </c>
      <c r="H26" s="95">
        <v>15.643520000000001</v>
      </c>
      <c r="I26" s="95">
        <v>17.898478999999998</v>
      </c>
      <c r="J26" s="95">
        <v>25.584816</v>
      </c>
      <c r="K26" s="95">
        <v>37.096310000000003</v>
      </c>
      <c r="L26" s="95">
        <v>39.877831</v>
      </c>
      <c r="M26" s="95">
        <v>47.133904000000001</v>
      </c>
      <c r="N26" s="95">
        <v>53.779693999999999</v>
      </c>
      <c r="O26" s="95">
        <v>61.241973999999999</v>
      </c>
      <c r="P26" s="95">
        <v>70.295379999999994</v>
      </c>
      <c r="Q26" s="95">
        <v>74.829680999999994</v>
      </c>
      <c r="R26" s="95">
        <v>79.007698000000005</v>
      </c>
      <c r="S26" s="95">
        <v>84.767646999999997</v>
      </c>
      <c r="T26" s="95">
        <v>93.049576000000002</v>
      </c>
      <c r="U26" s="95">
        <v>98.679580999999999</v>
      </c>
      <c r="V26" s="95">
        <v>105.63016500000001</v>
      </c>
      <c r="W26" s="95">
        <v>112.197945</v>
      </c>
      <c r="X26" s="95">
        <v>117.53334</v>
      </c>
      <c r="Y26" s="95">
        <v>121.15104700000001</v>
      </c>
      <c r="Z26" s="95">
        <v>124.08399199999999</v>
      </c>
      <c r="AA26" s="95">
        <v>123.46315</v>
      </c>
      <c r="AB26" s="95">
        <v>123.15036000000001</v>
      </c>
      <c r="AC26" s="95">
        <v>119.422455</v>
      </c>
      <c r="AD26" s="95">
        <v>118.49369</v>
      </c>
      <c r="AE26" s="95">
        <v>118.733879</v>
      </c>
      <c r="AF26" s="95">
        <v>107.510994</v>
      </c>
      <c r="AG26" s="95">
        <v>90.537163000000007</v>
      </c>
      <c r="AH26" s="95">
        <v>81.026687999999993</v>
      </c>
      <c r="AI26" s="95">
        <v>85.247459000000006</v>
      </c>
      <c r="AJ26" s="95">
        <v>89.920685000000006</v>
      </c>
      <c r="AK26" s="62">
        <v>8.4031999999999996E-2</v>
      </c>
    </row>
    <row r="27" spans="1:37" ht="15" customHeight="1">
      <c r="A27" s="94" t="s">
        <v>366</v>
      </c>
      <c r="B27" s="60" t="s">
        <v>355</v>
      </c>
      <c r="C27" s="95">
        <v>278.04269399999998</v>
      </c>
      <c r="D27" s="95">
        <v>287.65640300000001</v>
      </c>
      <c r="E27" s="95">
        <v>296.228363</v>
      </c>
      <c r="F27" s="95">
        <v>301.69146699999999</v>
      </c>
      <c r="G27" s="95">
        <v>305.41622899999999</v>
      </c>
      <c r="H27" s="95">
        <v>308.36706500000003</v>
      </c>
      <c r="I27" s="95">
        <v>310.91235399999999</v>
      </c>
      <c r="J27" s="95">
        <v>312.15438799999998</v>
      </c>
      <c r="K27" s="95">
        <v>314.06976300000002</v>
      </c>
      <c r="L27" s="95">
        <v>315.123627</v>
      </c>
      <c r="M27" s="95">
        <v>315.64605699999998</v>
      </c>
      <c r="N27" s="95">
        <v>316.47167999999999</v>
      </c>
      <c r="O27" s="95">
        <v>316.24032599999998</v>
      </c>
      <c r="P27" s="95">
        <v>314.69564800000001</v>
      </c>
      <c r="Q27" s="95">
        <v>315.386505</v>
      </c>
      <c r="R27" s="95">
        <v>314.75930799999998</v>
      </c>
      <c r="S27" s="95">
        <v>315.19653299999999</v>
      </c>
      <c r="T27" s="95">
        <v>315.286224</v>
      </c>
      <c r="U27" s="95">
        <v>315.54571499999997</v>
      </c>
      <c r="V27" s="95">
        <v>316.24670400000002</v>
      </c>
      <c r="W27" s="95">
        <v>316.273346</v>
      </c>
      <c r="X27" s="95">
        <v>316.45166</v>
      </c>
      <c r="Y27" s="95">
        <v>315.36044299999998</v>
      </c>
      <c r="Z27" s="95">
        <v>315.10003699999999</v>
      </c>
      <c r="AA27" s="95">
        <v>314.21469100000002</v>
      </c>
      <c r="AB27" s="95">
        <v>314.199432</v>
      </c>
      <c r="AC27" s="95">
        <v>315.25479100000001</v>
      </c>
      <c r="AD27" s="95">
        <v>316.505493</v>
      </c>
      <c r="AE27" s="95">
        <v>317.94644199999999</v>
      </c>
      <c r="AF27" s="95">
        <v>320.25555400000002</v>
      </c>
      <c r="AG27" s="95">
        <v>322.41006499999997</v>
      </c>
      <c r="AH27" s="95">
        <v>323.64138800000001</v>
      </c>
      <c r="AI27" s="95">
        <v>325.08737200000002</v>
      </c>
      <c r="AJ27" s="95">
        <v>326.11346400000002</v>
      </c>
      <c r="AK27" s="62">
        <v>3.9290000000000002E-3</v>
      </c>
    </row>
    <row r="28" spans="1:37" ht="15" customHeight="1">
      <c r="A28" s="94" t="s">
        <v>367</v>
      </c>
      <c r="B28" s="60" t="s">
        <v>358</v>
      </c>
      <c r="C28" s="95">
        <v>1.609E-3</v>
      </c>
      <c r="D28" s="95">
        <v>9.4325999999999993E-2</v>
      </c>
      <c r="E28" s="95">
        <v>0.18846099999999999</v>
      </c>
      <c r="F28" s="95">
        <v>0.27876299999999998</v>
      </c>
      <c r="G28" s="95">
        <v>0.36337999999999998</v>
      </c>
      <c r="H28" s="95">
        <v>0.44712600000000002</v>
      </c>
      <c r="I28" s="95">
        <v>0.52610999999999997</v>
      </c>
      <c r="J28" s="95">
        <v>0.60323300000000002</v>
      </c>
      <c r="K28" s="95">
        <v>0.65599700000000005</v>
      </c>
      <c r="L28" s="95">
        <v>0.70727399999999996</v>
      </c>
      <c r="M28" s="95">
        <v>0.75628099999999998</v>
      </c>
      <c r="N28" s="95">
        <v>0.80731200000000003</v>
      </c>
      <c r="O28" s="95">
        <v>0.85489499999999996</v>
      </c>
      <c r="P28" s="95">
        <v>0.90481800000000001</v>
      </c>
      <c r="Q28" s="95">
        <v>0.95170600000000005</v>
      </c>
      <c r="R28" s="95">
        <v>1.002084</v>
      </c>
      <c r="S28" s="95">
        <v>1.052915</v>
      </c>
      <c r="T28" s="95">
        <v>1.1075280000000001</v>
      </c>
      <c r="U28" s="95">
        <v>1.1627320000000001</v>
      </c>
      <c r="V28" s="95">
        <v>1.221336</v>
      </c>
      <c r="W28" s="95">
        <v>1.2831889999999999</v>
      </c>
      <c r="X28" s="95">
        <v>1.3456189999999999</v>
      </c>
      <c r="Y28" s="95">
        <v>1.412167</v>
      </c>
      <c r="Z28" s="95">
        <v>1.4769730000000001</v>
      </c>
      <c r="AA28" s="95">
        <v>1.5463089999999999</v>
      </c>
      <c r="AB28" s="95">
        <v>1.6127480000000001</v>
      </c>
      <c r="AC28" s="95">
        <v>1.6783729999999999</v>
      </c>
      <c r="AD28" s="95">
        <v>1.7484029999999999</v>
      </c>
      <c r="AE28" s="95">
        <v>1.8219860000000001</v>
      </c>
      <c r="AF28" s="95">
        <v>1.89697</v>
      </c>
      <c r="AG28" s="95">
        <v>1.9716309999999999</v>
      </c>
      <c r="AH28" s="95">
        <v>2.0540440000000002</v>
      </c>
      <c r="AI28" s="95">
        <v>2.1360269999999999</v>
      </c>
      <c r="AJ28" s="95">
        <v>2.2290230000000002</v>
      </c>
      <c r="AK28" s="62">
        <v>0.103879</v>
      </c>
    </row>
    <row r="29" spans="1:37" ht="15" customHeight="1">
      <c r="A29" s="94" t="s">
        <v>368</v>
      </c>
      <c r="B29" s="60" t="s">
        <v>260</v>
      </c>
      <c r="C29" s="95">
        <v>1.2190970000000001</v>
      </c>
      <c r="D29" s="95">
        <v>1.1907669999999999</v>
      </c>
      <c r="E29" s="95">
        <v>1.0924970000000001</v>
      </c>
      <c r="F29" s="95">
        <v>0.95423199999999997</v>
      </c>
      <c r="G29" s="95">
        <v>0.89489200000000002</v>
      </c>
      <c r="H29" s="95">
        <v>0.83210700000000004</v>
      </c>
      <c r="I29" s="95">
        <v>0.81816</v>
      </c>
      <c r="J29" s="95">
        <v>0.80513400000000002</v>
      </c>
      <c r="K29" s="95">
        <v>0.78724899999999998</v>
      </c>
      <c r="L29" s="95">
        <v>0.77361199999999997</v>
      </c>
      <c r="M29" s="95">
        <v>0.75269200000000003</v>
      </c>
      <c r="N29" s="95">
        <v>0.73995500000000003</v>
      </c>
      <c r="O29" s="95">
        <v>0.73058800000000002</v>
      </c>
      <c r="P29" s="95">
        <v>0.72006199999999998</v>
      </c>
      <c r="Q29" s="95">
        <v>0.71318700000000002</v>
      </c>
      <c r="R29" s="95">
        <v>0.70891499999999996</v>
      </c>
      <c r="S29" s="95">
        <v>0.71754899999999999</v>
      </c>
      <c r="T29" s="95">
        <v>0.734263</v>
      </c>
      <c r="U29" s="95">
        <v>0.75947399999999998</v>
      </c>
      <c r="V29" s="95">
        <v>0.79141499999999998</v>
      </c>
      <c r="W29" s="95">
        <v>0.82972599999999996</v>
      </c>
      <c r="X29" s="95">
        <v>0.877413</v>
      </c>
      <c r="Y29" s="95">
        <v>0.93452500000000005</v>
      </c>
      <c r="Z29" s="95">
        <v>0.99819899999999995</v>
      </c>
      <c r="AA29" s="95">
        <v>1.073186</v>
      </c>
      <c r="AB29" s="95">
        <v>1.1556340000000001</v>
      </c>
      <c r="AC29" s="95">
        <v>1.24983</v>
      </c>
      <c r="AD29" s="95">
        <v>1.368331</v>
      </c>
      <c r="AE29" s="95">
        <v>1.4950699999999999</v>
      </c>
      <c r="AF29" s="95">
        <v>1.6109979999999999</v>
      </c>
      <c r="AG29" s="95">
        <v>1.7607680000000001</v>
      </c>
      <c r="AH29" s="95">
        <v>1.920488</v>
      </c>
      <c r="AI29" s="95">
        <v>2.110897</v>
      </c>
      <c r="AJ29" s="95">
        <v>2.3282159999999998</v>
      </c>
      <c r="AK29" s="62">
        <v>2.1173999999999998E-2</v>
      </c>
    </row>
    <row r="30" spans="1:37" ht="15" customHeight="1">
      <c r="A30" s="94" t="s">
        <v>369</v>
      </c>
      <c r="B30" s="60" t="s">
        <v>320</v>
      </c>
      <c r="C30" s="95">
        <v>0</v>
      </c>
      <c r="D30" s="95">
        <v>0</v>
      </c>
      <c r="E30" s="95">
        <v>0</v>
      </c>
      <c r="F30" s="95">
        <v>6.3650999999999999E-2</v>
      </c>
      <c r="G30" s="95">
        <v>0.12402100000000001</v>
      </c>
      <c r="H30" s="95">
        <v>0.18240100000000001</v>
      </c>
      <c r="I30" s="95">
        <v>0.23846999999999999</v>
      </c>
      <c r="J30" s="95">
        <v>0.29357899999999998</v>
      </c>
      <c r="K30" s="95">
        <v>0.34808099999999997</v>
      </c>
      <c r="L30" s="95">
        <v>0.40206799999999998</v>
      </c>
      <c r="M30" s="95">
        <v>0.438809</v>
      </c>
      <c r="N30" s="95">
        <v>0.47697400000000001</v>
      </c>
      <c r="O30" s="95">
        <v>0.51349900000000004</v>
      </c>
      <c r="P30" s="95">
        <v>0.55158600000000002</v>
      </c>
      <c r="Q30" s="95">
        <v>0.58777000000000001</v>
      </c>
      <c r="R30" s="95">
        <v>0.62582899999999997</v>
      </c>
      <c r="S30" s="95">
        <v>0.66410400000000003</v>
      </c>
      <c r="T30" s="95">
        <v>0.704511</v>
      </c>
      <c r="U30" s="95">
        <v>0.74516099999999996</v>
      </c>
      <c r="V30" s="95">
        <v>0.78740399999999999</v>
      </c>
      <c r="W30" s="95">
        <v>0.83168399999999998</v>
      </c>
      <c r="X30" s="95">
        <v>0.87562399999999996</v>
      </c>
      <c r="Y30" s="95">
        <v>0.92164299999999999</v>
      </c>
      <c r="Z30" s="95">
        <v>0.96685500000000002</v>
      </c>
      <c r="AA30" s="95">
        <v>1.0155620000000001</v>
      </c>
      <c r="AB30" s="95">
        <v>1.0630539999999999</v>
      </c>
      <c r="AC30" s="95">
        <v>1.110935</v>
      </c>
      <c r="AD30" s="95">
        <v>1.1625779999999999</v>
      </c>
      <c r="AE30" s="95">
        <v>1.2173350000000001</v>
      </c>
      <c r="AF30" s="95">
        <v>1.273639</v>
      </c>
      <c r="AG30" s="95">
        <v>1.3301019999999999</v>
      </c>
      <c r="AH30" s="95">
        <v>1.3919870000000001</v>
      </c>
      <c r="AI30" s="95">
        <v>1.4536420000000001</v>
      </c>
      <c r="AJ30" s="95">
        <v>1.518894</v>
      </c>
      <c r="AK30" s="62" t="s">
        <v>164</v>
      </c>
    </row>
    <row r="31" spans="1:37" ht="15" customHeight="1">
      <c r="A31" s="94" t="s">
        <v>370</v>
      </c>
      <c r="B31" s="60" t="s">
        <v>361</v>
      </c>
      <c r="C31" s="95">
        <v>0</v>
      </c>
      <c r="D31" s="95">
        <v>0</v>
      </c>
      <c r="E31" s="95">
        <v>0</v>
      </c>
      <c r="F31" s="95">
        <v>0</v>
      </c>
      <c r="G31" s="95">
        <v>0</v>
      </c>
      <c r="H31" s="95">
        <v>0</v>
      </c>
      <c r="I31" s="95">
        <v>0</v>
      </c>
      <c r="J31" s="95">
        <v>0</v>
      </c>
      <c r="K31" s="95">
        <v>0</v>
      </c>
      <c r="L31" s="95">
        <v>0</v>
      </c>
      <c r="M31" s="95">
        <v>0</v>
      </c>
      <c r="N31" s="95">
        <v>0</v>
      </c>
      <c r="O31" s="95">
        <v>0</v>
      </c>
      <c r="P31" s="95">
        <v>0</v>
      </c>
      <c r="Q31" s="95">
        <v>0</v>
      </c>
      <c r="R31" s="95">
        <v>0</v>
      </c>
      <c r="S31" s="95">
        <v>0</v>
      </c>
      <c r="T31" s="95">
        <v>0</v>
      </c>
      <c r="U31" s="95">
        <v>0</v>
      </c>
      <c r="V31" s="95">
        <v>0</v>
      </c>
      <c r="W31" s="95">
        <v>0</v>
      </c>
      <c r="X31" s="95">
        <v>0</v>
      </c>
      <c r="Y31" s="95">
        <v>0</v>
      </c>
      <c r="Z31" s="95">
        <v>0</v>
      </c>
      <c r="AA31" s="95">
        <v>0</v>
      </c>
      <c r="AB31" s="95">
        <v>0</v>
      </c>
      <c r="AC31" s="95">
        <v>0</v>
      </c>
      <c r="AD31" s="95">
        <v>0</v>
      </c>
      <c r="AE31" s="95">
        <v>0</v>
      </c>
      <c r="AF31" s="95">
        <v>0</v>
      </c>
      <c r="AG31" s="95">
        <v>0</v>
      </c>
      <c r="AH31" s="95">
        <v>0</v>
      </c>
      <c r="AI31" s="95">
        <v>0</v>
      </c>
      <c r="AJ31" s="95">
        <v>0</v>
      </c>
      <c r="AK31" s="62" t="s">
        <v>164</v>
      </c>
    </row>
    <row r="33" spans="1:37" ht="15" customHeight="1">
      <c r="A33" s="94" t="s">
        <v>371</v>
      </c>
      <c r="B33" s="59" t="s">
        <v>372</v>
      </c>
      <c r="C33" s="65">
        <v>5649.7138670000004</v>
      </c>
      <c r="D33" s="65">
        <v>5725.2592770000001</v>
      </c>
      <c r="E33" s="65">
        <v>5818.2104490000002</v>
      </c>
      <c r="F33" s="65">
        <v>5830.0400390000004</v>
      </c>
      <c r="G33" s="65">
        <v>5814.6381840000004</v>
      </c>
      <c r="H33" s="65">
        <v>5814.2666019999997</v>
      </c>
      <c r="I33" s="65">
        <v>5813.0493159999996</v>
      </c>
      <c r="J33" s="65">
        <v>5804.3056640000004</v>
      </c>
      <c r="K33" s="65">
        <v>5792.9770509999998</v>
      </c>
      <c r="L33" s="65">
        <v>5777.2124020000001</v>
      </c>
      <c r="M33" s="65">
        <v>5741.1816410000001</v>
      </c>
      <c r="N33" s="65">
        <v>5710.9765619999998</v>
      </c>
      <c r="O33" s="65">
        <v>5669.7436520000001</v>
      </c>
      <c r="P33" s="65">
        <v>5629.2807620000003</v>
      </c>
      <c r="Q33" s="65">
        <v>5599.5834960000002</v>
      </c>
      <c r="R33" s="65">
        <v>5569.5664059999999</v>
      </c>
      <c r="S33" s="65">
        <v>5545.65625</v>
      </c>
      <c r="T33" s="65">
        <v>5537.8217770000001</v>
      </c>
      <c r="U33" s="65">
        <v>5547.3720700000003</v>
      </c>
      <c r="V33" s="65">
        <v>5561.8339839999999</v>
      </c>
      <c r="W33" s="65">
        <v>5587.001953</v>
      </c>
      <c r="X33" s="65">
        <v>5616.1782229999999</v>
      </c>
      <c r="Y33" s="65">
        <v>5643.7475590000004</v>
      </c>
      <c r="Z33" s="65">
        <v>5665.5419920000004</v>
      </c>
      <c r="AA33" s="65">
        <v>5698.0361329999996</v>
      </c>
      <c r="AB33" s="65">
        <v>5732.9047849999997</v>
      </c>
      <c r="AC33" s="65">
        <v>5773.46875</v>
      </c>
      <c r="AD33" s="65">
        <v>5824.3999020000001</v>
      </c>
      <c r="AE33" s="65">
        <v>5880.1401370000003</v>
      </c>
      <c r="AF33" s="65">
        <v>5936.2446289999998</v>
      </c>
      <c r="AG33" s="65">
        <v>5998.6572269999997</v>
      </c>
      <c r="AH33" s="65">
        <v>6065.2211909999996</v>
      </c>
      <c r="AI33" s="65">
        <v>6124.8315430000002</v>
      </c>
      <c r="AJ33" s="65">
        <v>6190.8994140000004</v>
      </c>
      <c r="AK33" s="66">
        <v>2.447E-3</v>
      </c>
    </row>
    <row r="34" spans="1:37" ht="15" customHeight="1">
      <c r="A34" s="94" t="s">
        <v>373</v>
      </c>
      <c r="B34" s="60" t="s">
        <v>374</v>
      </c>
      <c r="C34" s="95">
        <v>524.60040300000003</v>
      </c>
      <c r="D34" s="95">
        <v>526.050659</v>
      </c>
      <c r="E34" s="95">
        <v>531.52697799999999</v>
      </c>
      <c r="F34" s="95">
        <v>534.25390600000003</v>
      </c>
      <c r="G34" s="95">
        <v>536.15460199999995</v>
      </c>
      <c r="H34" s="95">
        <v>538.68640100000005</v>
      </c>
      <c r="I34" s="95">
        <v>542.30346699999996</v>
      </c>
      <c r="J34" s="95">
        <v>545.79400599999997</v>
      </c>
      <c r="K34" s="95">
        <v>547.48040800000001</v>
      </c>
      <c r="L34" s="95">
        <v>552.80963099999997</v>
      </c>
      <c r="M34" s="95">
        <v>555.23925799999995</v>
      </c>
      <c r="N34" s="95">
        <v>559.45953399999996</v>
      </c>
      <c r="O34" s="95">
        <v>565.21630900000002</v>
      </c>
      <c r="P34" s="95">
        <v>567.23321499999997</v>
      </c>
      <c r="Q34" s="95">
        <v>575.14086899999995</v>
      </c>
      <c r="R34" s="95">
        <v>580.80810499999995</v>
      </c>
      <c r="S34" s="95">
        <v>587.01580799999999</v>
      </c>
      <c r="T34" s="95">
        <v>595.18499799999995</v>
      </c>
      <c r="U34" s="95">
        <v>604.73083499999996</v>
      </c>
      <c r="V34" s="95">
        <v>615.77203399999996</v>
      </c>
      <c r="W34" s="95">
        <v>626.92511000000002</v>
      </c>
      <c r="X34" s="95">
        <v>641.21844499999997</v>
      </c>
      <c r="Y34" s="95">
        <v>653.27844200000004</v>
      </c>
      <c r="Z34" s="95">
        <v>668.64556900000002</v>
      </c>
      <c r="AA34" s="95">
        <v>683.95617700000003</v>
      </c>
      <c r="AB34" s="95">
        <v>700.56817599999999</v>
      </c>
      <c r="AC34" s="95">
        <v>719.54101600000001</v>
      </c>
      <c r="AD34" s="95">
        <v>737.58557099999996</v>
      </c>
      <c r="AE34" s="95">
        <v>756.44464100000005</v>
      </c>
      <c r="AF34" s="95">
        <v>780.32104500000003</v>
      </c>
      <c r="AG34" s="95">
        <v>807.35449200000005</v>
      </c>
      <c r="AH34" s="95">
        <v>832.86004600000001</v>
      </c>
      <c r="AI34" s="95">
        <v>852.19982900000002</v>
      </c>
      <c r="AJ34" s="95">
        <v>872.95385699999997</v>
      </c>
      <c r="AK34" s="62">
        <v>1.5953999999999999E-2</v>
      </c>
    </row>
    <row r="35" spans="1:37" ht="15" customHeight="1">
      <c r="A35" s="94" t="s">
        <v>375</v>
      </c>
      <c r="B35" s="60" t="s">
        <v>355</v>
      </c>
      <c r="C35" s="95">
        <v>5085.1342770000001</v>
      </c>
      <c r="D35" s="95">
        <v>5153.1601559999999</v>
      </c>
      <c r="E35" s="95">
        <v>5236.2329099999997</v>
      </c>
      <c r="F35" s="95">
        <v>5242.0927730000003</v>
      </c>
      <c r="G35" s="95">
        <v>5222.1313479999999</v>
      </c>
      <c r="H35" s="95">
        <v>5216.7358400000003</v>
      </c>
      <c r="I35" s="95">
        <v>5209.6865230000003</v>
      </c>
      <c r="J35" s="95">
        <v>5193.9990230000003</v>
      </c>
      <c r="K35" s="95">
        <v>5176.4580079999996</v>
      </c>
      <c r="L35" s="95">
        <v>5153.033203</v>
      </c>
      <c r="M35" s="95">
        <v>5111.0419920000004</v>
      </c>
      <c r="N35" s="95">
        <v>5072.7846680000002</v>
      </c>
      <c r="O35" s="95">
        <v>5021.736328</v>
      </c>
      <c r="P35" s="95">
        <v>4973.982422</v>
      </c>
      <c r="Q35" s="95">
        <v>4932.1289059999999</v>
      </c>
      <c r="R35" s="95">
        <v>4891.7700199999999</v>
      </c>
      <c r="S35" s="95">
        <v>4855.5639650000003</v>
      </c>
      <c r="T35" s="95">
        <v>4831.9931640000004</v>
      </c>
      <c r="U35" s="95">
        <v>4824.6523440000001</v>
      </c>
      <c r="V35" s="95">
        <v>4819.5981449999999</v>
      </c>
      <c r="W35" s="95">
        <v>4824.5913090000004</v>
      </c>
      <c r="X35" s="95">
        <v>4829.9501950000003</v>
      </c>
      <c r="Y35" s="95">
        <v>4835.8374020000001</v>
      </c>
      <c r="Z35" s="95">
        <v>4831.5805659999996</v>
      </c>
      <c r="AA35" s="95">
        <v>4838.6494140000004</v>
      </c>
      <c r="AB35" s="95">
        <v>4845.703125</v>
      </c>
      <c r="AC35" s="95">
        <v>4856.3198240000002</v>
      </c>
      <c r="AD35" s="95">
        <v>4875.8486329999996</v>
      </c>
      <c r="AE35" s="95">
        <v>4897.5234380000002</v>
      </c>
      <c r="AF35" s="95">
        <v>4917.9125979999999</v>
      </c>
      <c r="AG35" s="95">
        <v>4942.810547</v>
      </c>
      <c r="AH35" s="95">
        <v>4969.4038090000004</v>
      </c>
      <c r="AI35" s="95">
        <v>4989.3945309999999</v>
      </c>
      <c r="AJ35" s="95">
        <v>5013.7705079999996</v>
      </c>
      <c r="AK35" s="62">
        <v>-8.5700000000000001E-4</v>
      </c>
    </row>
    <row r="36" spans="1:37" ht="15" customHeight="1">
      <c r="A36" s="94" t="s">
        <v>376</v>
      </c>
      <c r="B36" s="60" t="s">
        <v>260</v>
      </c>
      <c r="C36" s="95">
        <v>38.148581999999998</v>
      </c>
      <c r="D36" s="95">
        <v>41.969741999999997</v>
      </c>
      <c r="E36" s="95">
        <v>45.182625000000002</v>
      </c>
      <c r="F36" s="95">
        <v>47.002907</v>
      </c>
      <c r="G36" s="95">
        <v>48.040393999999999</v>
      </c>
      <c r="H36" s="95">
        <v>48.967399999999998</v>
      </c>
      <c r="I36" s="95">
        <v>49.663395000000001</v>
      </c>
      <c r="J36" s="95">
        <v>50.090133999999999</v>
      </c>
      <c r="K36" s="95">
        <v>50.380482000000001</v>
      </c>
      <c r="L36" s="95">
        <v>50.671726</v>
      </c>
      <c r="M36" s="95">
        <v>50.900291000000003</v>
      </c>
      <c r="N36" s="95">
        <v>51.443798000000001</v>
      </c>
      <c r="O36" s="95">
        <v>52.070354000000002</v>
      </c>
      <c r="P36" s="95">
        <v>53.034072999999999</v>
      </c>
      <c r="Q36" s="95">
        <v>54.412010000000002</v>
      </c>
      <c r="R36" s="95">
        <v>56.326270999999998</v>
      </c>
      <c r="S36" s="95">
        <v>58.965629999999997</v>
      </c>
      <c r="T36" s="95">
        <v>62.304535000000001</v>
      </c>
      <c r="U36" s="95">
        <v>66.323441000000003</v>
      </c>
      <c r="V36" s="95">
        <v>71.053864000000004</v>
      </c>
      <c r="W36" s="95">
        <v>76.538680999999997</v>
      </c>
      <c r="X36" s="95">
        <v>82.900161999999995</v>
      </c>
      <c r="Y36" s="95">
        <v>90.034897000000001</v>
      </c>
      <c r="Z36" s="95">
        <v>98.194076999999993</v>
      </c>
      <c r="AA36" s="95">
        <v>107.21453099999999</v>
      </c>
      <c r="AB36" s="95">
        <v>117.10681200000001</v>
      </c>
      <c r="AC36" s="95">
        <v>128.00065599999999</v>
      </c>
      <c r="AD36" s="95">
        <v>140.15522799999999</v>
      </c>
      <c r="AE36" s="95">
        <v>153.60005200000001</v>
      </c>
      <c r="AF36" s="95">
        <v>168.01939400000001</v>
      </c>
      <c r="AG36" s="95">
        <v>183.19897499999999</v>
      </c>
      <c r="AH36" s="95">
        <v>199.472443</v>
      </c>
      <c r="AI36" s="95">
        <v>216.06509399999999</v>
      </c>
      <c r="AJ36" s="95">
        <v>233.04260300000001</v>
      </c>
      <c r="AK36" s="62">
        <v>5.5031999999999998E-2</v>
      </c>
    </row>
    <row r="37" spans="1:37" ht="15" customHeight="1">
      <c r="A37" s="94" t="s">
        <v>377</v>
      </c>
      <c r="B37" s="60" t="s">
        <v>358</v>
      </c>
      <c r="C37" s="95">
        <v>1.498156</v>
      </c>
      <c r="D37" s="95">
        <v>1.723063</v>
      </c>
      <c r="E37" s="95">
        <v>1.9532560000000001</v>
      </c>
      <c r="F37" s="95">
        <v>2.1466090000000002</v>
      </c>
      <c r="G37" s="95">
        <v>2.3086139999999999</v>
      </c>
      <c r="H37" s="95">
        <v>2.4561730000000002</v>
      </c>
      <c r="I37" s="95">
        <v>2.587135</v>
      </c>
      <c r="J37" s="95">
        <v>2.6920570000000001</v>
      </c>
      <c r="K37" s="95">
        <v>2.7961559999999999</v>
      </c>
      <c r="L37" s="95">
        <v>2.884792</v>
      </c>
      <c r="M37" s="95">
        <v>2.9673210000000001</v>
      </c>
      <c r="N37" s="95">
        <v>3.0204529999999998</v>
      </c>
      <c r="O37" s="95">
        <v>3.0823689999999999</v>
      </c>
      <c r="P37" s="95">
        <v>3.1368170000000002</v>
      </c>
      <c r="Q37" s="95">
        <v>3.1757390000000001</v>
      </c>
      <c r="R37" s="95">
        <v>3.251039</v>
      </c>
      <c r="S37" s="95">
        <v>3.3264490000000002</v>
      </c>
      <c r="T37" s="95">
        <v>3.4084379999999999</v>
      </c>
      <c r="U37" s="95">
        <v>3.5129380000000001</v>
      </c>
      <c r="V37" s="95">
        <v>3.6288209999999999</v>
      </c>
      <c r="W37" s="95">
        <v>3.7593489999999998</v>
      </c>
      <c r="X37" s="95">
        <v>3.9044560000000001</v>
      </c>
      <c r="Y37" s="95">
        <v>4.055053</v>
      </c>
      <c r="Z37" s="95">
        <v>4.2218419999999997</v>
      </c>
      <c r="AA37" s="95">
        <v>4.3932820000000001</v>
      </c>
      <c r="AB37" s="95">
        <v>4.5708580000000003</v>
      </c>
      <c r="AC37" s="95">
        <v>4.7522070000000003</v>
      </c>
      <c r="AD37" s="95">
        <v>4.9478350000000004</v>
      </c>
      <c r="AE37" s="95">
        <v>5.1629329999999998</v>
      </c>
      <c r="AF37" s="95">
        <v>5.3888749999999996</v>
      </c>
      <c r="AG37" s="95">
        <v>5.6731639999999999</v>
      </c>
      <c r="AH37" s="95">
        <v>5.8827150000000001</v>
      </c>
      <c r="AI37" s="95">
        <v>6.1420139999999996</v>
      </c>
      <c r="AJ37" s="95">
        <v>6.42971</v>
      </c>
      <c r="AK37" s="62">
        <v>4.2008999999999998E-2</v>
      </c>
    </row>
    <row r="38" spans="1:37" ht="15" customHeight="1">
      <c r="A38" s="94" t="s">
        <v>378</v>
      </c>
      <c r="B38" s="60" t="s">
        <v>202</v>
      </c>
      <c r="C38" s="95">
        <v>0.3246</v>
      </c>
      <c r="D38" s="95">
        <v>1.628295</v>
      </c>
      <c r="E38" s="95">
        <v>1.8728560000000001</v>
      </c>
      <c r="F38" s="95">
        <v>2.4167239999999999</v>
      </c>
      <c r="G38" s="95">
        <v>3.2091850000000002</v>
      </c>
      <c r="H38" s="95">
        <v>3.917608</v>
      </c>
      <c r="I38" s="95">
        <v>4.5945869999999998</v>
      </c>
      <c r="J38" s="95">
        <v>6.8184430000000003</v>
      </c>
      <c r="K38" s="95">
        <v>10.255258</v>
      </c>
      <c r="L38" s="95">
        <v>11.512392</v>
      </c>
      <c r="M38" s="95">
        <v>14.055236000000001</v>
      </c>
      <c r="N38" s="95">
        <v>16.588408999999999</v>
      </c>
      <c r="O38" s="95">
        <v>19.274384000000001</v>
      </c>
      <c r="P38" s="95">
        <v>22.838697</v>
      </c>
      <c r="Q38" s="95">
        <v>24.972017000000001</v>
      </c>
      <c r="R38" s="95">
        <v>26.948195999999999</v>
      </c>
      <c r="S38" s="95">
        <v>29.578747</v>
      </c>
      <c r="T38" s="95">
        <v>32.954844999999999</v>
      </c>
      <c r="U38" s="95">
        <v>35.372706999999998</v>
      </c>
      <c r="V38" s="95">
        <v>38.156052000000003</v>
      </c>
      <c r="W38" s="95">
        <v>40.699623000000003</v>
      </c>
      <c r="X38" s="95">
        <v>42.815089999999998</v>
      </c>
      <c r="Y38" s="95">
        <v>44.225113</v>
      </c>
      <c r="Z38" s="95">
        <v>45.58128</v>
      </c>
      <c r="AA38" s="95">
        <v>45.490234000000001</v>
      </c>
      <c r="AB38" s="95">
        <v>45.583302000000003</v>
      </c>
      <c r="AC38" s="95">
        <v>44.426830000000002</v>
      </c>
      <c r="AD38" s="95">
        <v>44.315539999999999</v>
      </c>
      <c r="AE38" s="95">
        <v>44.653979999999997</v>
      </c>
      <c r="AF38" s="95">
        <v>40.592559999999999</v>
      </c>
      <c r="AG38" s="95">
        <v>34.289951000000002</v>
      </c>
      <c r="AH38" s="95">
        <v>30.860264000000001</v>
      </c>
      <c r="AI38" s="95">
        <v>32.801682</v>
      </c>
      <c r="AJ38" s="95">
        <v>34.905605000000001</v>
      </c>
      <c r="AK38" s="62">
        <v>0.100522</v>
      </c>
    </row>
    <row r="39" spans="1:37" ht="15" customHeight="1">
      <c r="A39" s="94" t="s">
        <v>379</v>
      </c>
      <c r="B39" s="60" t="s">
        <v>320</v>
      </c>
      <c r="C39" s="95">
        <v>8.0459999999999993E-3</v>
      </c>
      <c r="D39" s="95">
        <v>0.48591800000000002</v>
      </c>
      <c r="E39" s="95">
        <v>0.94214200000000003</v>
      </c>
      <c r="F39" s="95">
        <v>1.38731</v>
      </c>
      <c r="G39" s="95">
        <v>1.8224180000000001</v>
      </c>
      <c r="H39" s="95">
        <v>2.2776480000000001</v>
      </c>
      <c r="I39" s="95">
        <v>2.732923</v>
      </c>
      <c r="J39" s="95">
        <v>3.1785909999999999</v>
      </c>
      <c r="K39" s="95">
        <v>3.6178560000000002</v>
      </c>
      <c r="L39" s="95">
        <v>4.0513430000000001</v>
      </c>
      <c r="M39" s="95">
        <v>4.4687080000000003</v>
      </c>
      <c r="N39" s="95">
        <v>4.9006959999999999</v>
      </c>
      <c r="O39" s="95">
        <v>5.3168170000000003</v>
      </c>
      <c r="P39" s="95">
        <v>5.7334230000000002</v>
      </c>
      <c r="Q39" s="95">
        <v>6.1516820000000001</v>
      </c>
      <c r="R39" s="95">
        <v>6.5743460000000002</v>
      </c>
      <c r="S39" s="95">
        <v>7.0175179999999999</v>
      </c>
      <c r="T39" s="95">
        <v>7.4776949999999998</v>
      </c>
      <c r="U39" s="95">
        <v>7.9604010000000001</v>
      </c>
      <c r="V39" s="95">
        <v>8.4700089999999992</v>
      </c>
      <c r="W39" s="95">
        <v>8.9905749999999998</v>
      </c>
      <c r="X39" s="95">
        <v>9.5339329999999993</v>
      </c>
      <c r="Y39" s="95">
        <v>10.09076</v>
      </c>
      <c r="Z39" s="95">
        <v>10.693087999999999</v>
      </c>
      <c r="AA39" s="95">
        <v>11.297967</v>
      </c>
      <c r="AB39" s="95">
        <v>11.913041</v>
      </c>
      <c r="AC39" s="95">
        <v>12.533806999999999</v>
      </c>
      <c r="AD39" s="95">
        <v>13.190310999999999</v>
      </c>
      <c r="AE39" s="95">
        <v>13.898199</v>
      </c>
      <c r="AF39" s="95">
        <v>14.634829</v>
      </c>
      <c r="AG39" s="95">
        <v>15.407667999999999</v>
      </c>
      <c r="AH39" s="95">
        <v>16.235731000000001</v>
      </c>
      <c r="AI39" s="95">
        <v>17.10915</v>
      </c>
      <c r="AJ39" s="95">
        <v>18.033408999999999</v>
      </c>
      <c r="AK39" s="62">
        <v>0.11956</v>
      </c>
    </row>
    <row r="40" spans="1:37" ht="15" customHeight="1">
      <c r="A40" s="94" t="s">
        <v>380</v>
      </c>
      <c r="B40" s="60" t="s">
        <v>361</v>
      </c>
      <c r="C40" s="95">
        <v>0</v>
      </c>
      <c r="D40" s="95">
        <v>0.24136299999999999</v>
      </c>
      <c r="E40" s="95">
        <v>0.50012000000000001</v>
      </c>
      <c r="F40" s="95">
        <v>0.73979499999999998</v>
      </c>
      <c r="G40" s="95">
        <v>0.97150599999999998</v>
      </c>
      <c r="H40" s="95">
        <v>1.225471</v>
      </c>
      <c r="I40" s="95">
        <v>1.481001</v>
      </c>
      <c r="J40" s="95">
        <v>1.733284</v>
      </c>
      <c r="K40" s="95">
        <v>1.9886159999999999</v>
      </c>
      <c r="L40" s="95">
        <v>2.2491400000000001</v>
      </c>
      <c r="M40" s="95">
        <v>2.5088249999999999</v>
      </c>
      <c r="N40" s="95">
        <v>2.7788789999999999</v>
      </c>
      <c r="O40" s="95">
        <v>3.0470510000000002</v>
      </c>
      <c r="P40" s="95">
        <v>3.322155</v>
      </c>
      <c r="Q40" s="95">
        <v>3.6024060000000002</v>
      </c>
      <c r="R40" s="95">
        <v>3.8884569999999998</v>
      </c>
      <c r="S40" s="95">
        <v>4.1878330000000004</v>
      </c>
      <c r="T40" s="95">
        <v>4.4980789999999997</v>
      </c>
      <c r="U40" s="95">
        <v>4.8197599999999996</v>
      </c>
      <c r="V40" s="95">
        <v>5.155106</v>
      </c>
      <c r="W40" s="95">
        <v>5.4970689999999998</v>
      </c>
      <c r="X40" s="95">
        <v>5.8560509999999999</v>
      </c>
      <c r="Y40" s="95">
        <v>6.2261050000000004</v>
      </c>
      <c r="Z40" s="95">
        <v>6.6260190000000003</v>
      </c>
      <c r="AA40" s="95">
        <v>7.0352649999999999</v>
      </c>
      <c r="AB40" s="95">
        <v>7.4590690000000004</v>
      </c>
      <c r="AC40" s="95">
        <v>7.8945150000000002</v>
      </c>
      <c r="AD40" s="95">
        <v>8.3570410000000006</v>
      </c>
      <c r="AE40" s="95">
        <v>8.8565129999999996</v>
      </c>
      <c r="AF40" s="95">
        <v>9.3758490000000005</v>
      </c>
      <c r="AG40" s="95">
        <v>9.9222249999999992</v>
      </c>
      <c r="AH40" s="95">
        <v>10.505863</v>
      </c>
      <c r="AI40" s="95">
        <v>11.119579999999999</v>
      </c>
      <c r="AJ40" s="95">
        <v>11.763825000000001</v>
      </c>
      <c r="AK40" s="62">
        <v>0.129136</v>
      </c>
    </row>
    <row r="43" spans="1:37" ht="15" customHeight="1">
      <c r="A43" s="94" t="s">
        <v>381</v>
      </c>
      <c r="B43" s="59" t="s">
        <v>382</v>
      </c>
      <c r="C43" s="65">
        <v>522.31347700000003</v>
      </c>
      <c r="D43" s="65">
        <v>519.29571499999997</v>
      </c>
      <c r="E43" s="65">
        <v>522.69519000000003</v>
      </c>
      <c r="F43" s="65">
        <v>509.17394999999999</v>
      </c>
      <c r="G43" s="65">
        <v>503.81243899999998</v>
      </c>
      <c r="H43" s="65">
        <v>498.28558299999997</v>
      </c>
      <c r="I43" s="65">
        <v>494.88436899999999</v>
      </c>
      <c r="J43" s="65">
        <v>496.939819</v>
      </c>
      <c r="K43" s="65">
        <v>497.74182100000002</v>
      </c>
      <c r="L43" s="65">
        <v>498.900238</v>
      </c>
      <c r="M43" s="65">
        <v>497.54708900000003</v>
      </c>
      <c r="N43" s="65">
        <v>497.65417500000001</v>
      </c>
      <c r="O43" s="65">
        <v>504.35424799999998</v>
      </c>
      <c r="P43" s="65">
        <v>508.73080399999998</v>
      </c>
      <c r="Q43" s="65">
        <v>506.71163899999999</v>
      </c>
      <c r="R43" s="65">
        <v>504.33160400000003</v>
      </c>
      <c r="S43" s="65">
        <v>504.46984900000001</v>
      </c>
      <c r="T43" s="65">
        <v>501.50994900000001</v>
      </c>
      <c r="U43" s="65">
        <v>501.86041299999999</v>
      </c>
      <c r="V43" s="65">
        <v>502.84713699999998</v>
      </c>
      <c r="W43" s="65">
        <v>502.67279100000002</v>
      </c>
      <c r="X43" s="65">
        <v>503.477844</v>
      </c>
      <c r="Y43" s="65">
        <v>504.19418300000001</v>
      </c>
      <c r="Z43" s="65">
        <v>504.51037600000001</v>
      </c>
      <c r="AA43" s="65">
        <v>504.60919200000001</v>
      </c>
      <c r="AB43" s="65">
        <v>504.09063700000002</v>
      </c>
      <c r="AC43" s="65">
        <v>503.24023399999999</v>
      </c>
      <c r="AD43" s="65">
        <v>503.68398999999999</v>
      </c>
      <c r="AE43" s="65">
        <v>504.540955</v>
      </c>
      <c r="AF43" s="65">
        <v>504.20459</v>
      </c>
      <c r="AG43" s="65">
        <v>504.54315200000002</v>
      </c>
      <c r="AH43" s="65">
        <v>505.44183299999997</v>
      </c>
      <c r="AI43" s="65">
        <v>506.188446</v>
      </c>
      <c r="AJ43" s="65">
        <v>507.372589</v>
      </c>
      <c r="AK43" s="66">
        <v>-7.2599999999999997E-4</v>
      </c>
    </row>
    <row r="44" spans="1:37" ht="15" customHeight="1">
      <c r="A44" s="94" t="s">
        <v>383</v>
      </c>
      <c r="B44" s="60" t="s">
        <v>355</v>
      </c>
      <c r="C44" s="95">
        <v>522.31347700000003</v>
      </c>
      <c r="D44" s="95">
        <v>519.29571499999997</v>
      </c>
      <c r="E44" s="95">
        <v>522.69519000000003</v>
      </c>
      <c r="F44" s="95">
        <v>508.62905899999998</v>
      </c>
      <c r="G44" s="95">
        <v>502.19607500000001</v>
      </c>
      <c r="H44" s="95">
        <v>495.09234600000002</v>
      </c>
      <c r="I44" s="95">
        <v>489.60803199999998</v>
      </c>
      <c r="J44" s="95">
        <v>489.01086400000003</v>
      </c>
      <c r="K44" s="95">
        <v>485.47164900000001</v>
      </c>
      <c r="L44" s="95">
        <v>480.60494999999997</v>
      </c>
      <c r="M44" s="95">
        <v>471.72384599999998</v>
      </c>
      <c r="N44" s="95">
        <v>462.72113000000002</v>
      </c>
      <c r="O44" s="95">
        <v>458.26724200000001</v>
      </c>
      <c r="P44" s="95">
        <v>451.69775399999997</v>
      </c>
      <c r="Q44" s="95">
        <v>439.62548800000002</v>
      </c>
      <c r="R44" s="95">
        <v>427.54873700000002</v>
      </c>
      <c r="S44" s="95">
        <v>417.86636399999998</v>
      </c>
      <c r="T44" s="95">
        <v>405.88204999999999</v>
      </c>
      <c r="U44" s="95">
        <v>396.84536700000001</v>
      </c>
      <c r="V44" s="95">
        <v>388.501282</v>
      </c>
      <c r="W44" s="95">
        <v>379.45471199999997</v>
      </c>
      <c r="X44" s="95">
        <v>371.34112499999998</v>
      </c>
      <c r="Y44" s="95">
        <v>363.33615099999997</v>
      </c>
      <c r="Z44" s="95">
        <v>355.22128300000003</v>
      </c>
      <c r="AA44" s="95">
        <v>347.13797</v>
      </c>
      <c r="AB44" s="95">
        <v>338.82363900000001</v>
      </c>
      <c r="AC44" s="95">
        <v>330.49014299999999</v>
      </c>
      <c r="AD44" s="95">
        <v>323.191101</v>
      </c>
      <c r="AE44" s="95">
        <v>316.312073</v>
      </c>
      <c r="AF44" s="95">
        <v>308.84759500000001</v>
      </c>
      <c r="AG44" s="95">
        <v>301.96307400000001</v>
      </c>
      <c r="AH44" s="95">
        <v>295.55944799999997</v>
      </c>
      <c r="AI44" s="95">
        <v>289.20376599999997</v>
      </c>
      <c r="AJ44" s="95">
        <v>283.22842400000002</v>
      </c>
      <c r="AK44" s="62">
        <v>-1.8766000000000001E-2</v>
      </c>
    </row>
    <row r="45" spans="1:37" ht="15" customHeight="1">
      <c r="A45" s="94" t="s">
        <v>384</v>
      </c>
      <c r="B45" s="60" t="s">
        <v>385</v>
      </c>
      <c r="C45" s="95">
        <v>0</v>
      </c>
      <c r="D45" s="95">
        <v>0</v>
      </c>
      <c r="E45" s="95">
        <v>0</v>
      </c>
      <c r="F45" s="95">
        <v>0</v>
      </c>
      <c r="G45" s="95">
        <v>0</v>
      </c>
      <c r="H45" s="95">
        <v>0</v>
      </c>
      <c r="I45" s="95">
        <v>0</v>
      </c>
      <c r="J45" s="95">
        <v>0</v>
      </c>
      <c r="K45" s="95">
        <v>0</v>
      </c>
      <c r="L45" s="95">
        <v>0</v>
      </c>
      <c r="M45" s="95">
        <v>0</v>
      </c>
      <c r="N45" s="95">
        <v>0</v>
      </c>
      <c r="O45" s="95">
        <v>0</v>
      </c>
      <c r="P45" s="95">
        <v>0</v>
      </c>
      <c r="Q45" s="95">
        <v>0</v>
      </c>
      <c r="R45" s="95">
        <v>0</v>
      </c>
      <c r="S45" s="95">
        <v>0</v>
      </c>
      <c r="T45" s="95">
        <v>0</v>
      </c>
      <c r="U45" s="95">
        <v>0</v>
      </c>
      <c r="V45" s="95">
        <v>0</v>
      </c>
      <c r="W45" s="95">
        <v>0</v>
      </c>
      <c r="X45" s="95">
        <v>0</v>
      </c>
      <c r="Y45" s="95">
        <v>0</v>
      </c>
      <c r="Z45" s="95">
        <v>0</v>
      </c>
      <c r="AA45" s="95">
        <v>0</v>
      </c>
      <c r="AB45" s="95">
        <v>0</v>
      </c>
      <c r="AC45" s="95">
        <v>0</v>
      </c>
      <c r="AD45" s="95">
        <v>0</v>
      </c>
      <c r="AE45" s="95">
        <v>0</v>
      </c>
      <c r="AF45" s="95">
        <v>0</v>
      </c>
      <c r="AG45" s="95">
        <v>0</v>
      </c>
      <c r="AH45" s="95">
        <v>0</v>
      </c>
      <c r="AI45" s="95">
        <v>0</v>
      </c>
      <c r="AJ45" s="95">
        <v>0</v>
      </c>
      <c r="AK45" s="62" t="s">
        <v>164</v>
      </c>
    </row>
    <row r="46" spans="1:37" ht="15" customHeight="1">
      <c r="A46" s="94" t="s">
        <v>386</v>
      </c>
      <c r="B46" s="60" t="s">
        <v>387</v>
      </c>
      <c r="C46" s="95">
        <v>0</v>
      </c>
      <c r="D46" s="95">
        <v>0</v>
      </c>
      <c r="E46" s="95">
        <v>0</v>
      </c>
      <c r="F46" s="95">
        <v>0</v>
      </c>
      <c r="G46" s="95">
        <v>0</v>
      </c>
      <c r="H46" s="95">
        <v>0</v>
      </c>
      <c r="I46" s="95">
        <v>0</v>
      </c>
      <c r="J46" s="95">
        <v>0</v>
      </c>
      <c r="K46" s="95">
        <v>0</v>
      </c>
      <c r="L46" s="95">
        <v>0</v>
      </c>
      <c r="M46" s="95">
        <v>0</v>
      </c>
      <c r="N46" s="95">
        <v>0</v>
      </c>
      <c r="O46" s="95">
        <v>0</v>
      </c>
      <c r="P46" s="95">
        <v>0</v>
      </c>
      <c r="Q46" s="95">
        <v>0</v>
      </c>
      <c r="R46" s="95">
        <v>0</v>
      </c>
      <c r="S46" s="95">
        <v>0</v>
      </c>
      <c r="T46" s="95">
        <v>0</v>
      </c>
      <c r="U46" s="95">
        <v>0</v>
      </c>
      <c r="V46" s="95">
        <v>0</v>
      </c>
      <c r="W46" s="95">
        <v>0</v>
      </c>
      <c r="X46" s="95">
        <v>0</v>
      </c>
      <c r="Y46" s="95">
        <v>0</v>
      </c>
      <c r="Z46" s="95">
        <v>0</v>
      </c>
      <c r="AA46" s="95">
        <v>0</v>
      </c>
      <c r="AB46" s="95">
        <v>0</v>
      </c>
      <c r="AC46" s="95">
        <v>0</v>
      </c>
      <c r="AD46" s="95">
        <v>0</v>
      </c>
      <c r="AE46" s="95">
        <v>0</v>
      </c>
      <c r="AF46" s="95">
        <v>0</v>
      </c>
      <c r="AG46" s="95">
        <v>0</v>
      </c>
      <c r="AH46" s="95">
        <v>0</v>
      </c>
      <c r="AI46" s="95">
        <v>0</v>
      </c>
      <c r="AJ46" s="95">
        <v>0</v>
      </c>
      <c r="AK46" s="62" t="s">
        <v>164</v>
      </c>
    </row>
    <row r="47" spans="1:37" ht="15" customHeight="1">
      <c r="A47" s="94" t="s">
        <v>388</v>
      </c>
      <c r="B47" s="60" t="s">
        <v>389</v>
      </c>
      <c r="C47" s="95">
        <v>0</v>
      </c>
      <c r="D47" s="95">
        <v>0</v>
      </c>
      <c r="E47" s="95">
        <v>0</v>
      </c>
      <c r="F47" s="95">
        <v>0.544906</v>
      </c>
      <c r="G47" s="95">
        <v>1.6163510000000001</v>
      </c>
      <c r="H47" s="95">
        <v>3.1932480000000001</v>
      </c>
      <c r="I47" s="95">
        <v>5.2763299999999997</v>
      </c>
      <c r="J47" s="95">
        <v>7.9289610000000001</v>
      </c>
      <c r="K47" s="95">
        <v>12.270179000000001</v>
      </c>
      <c r="L47" s="95">
        <v>18.295300000000001</v>
      </c>
      <c r="M47" s="95">
        <v>25.823232999999998</v>
      </c>
      <c r="N47" s="95">
        <v>34.933044000000002</v>
      </c>
      <c r="O47" s="95">
        <v>46.087021</v>
      </c>
      <c r="P47" s="95">
        <v>57.033062000000001</v>
      </c>
      <c r="Q47" s="95">
        <v>67.086143000000007</v>
      </c>
      <c r="R47" s="95">
        <v>76.782882999999998</v>
      </c>
      <c r="S47" s="95">
        <v>86.603499999999997</v>
      </c>
      <c r="T47" s="95">
        <v>95.627898999999999</v>
      </c>
      <c r="U47" s="95">
        <v>105.015038</v>
      </c>
      <c r="V47" s="95">
        <v>114.345848</v>
      </c>
      <c r="W47" s="95">
        <v>123.218079</v>
      </c>
      <c r="X47" s="95">
        <v>132.13673399999999</v>
      </c>
      <c r="Y47" s="95">
        <v>140.85803200000001</v>
      </c>
      <c r="Z47" s="95">
        <v>149.28909300000001</v>
      </c>
      <c r="AA47" s="95">
        <v>157.47122200000001</v>
      </c>
      <c r="AB47" s="95">
        <v>165.26701399999999</v>
      </c>
      <c r="AC47" s="95">
        <v>172.750092</v>
      </c>
      <c r="AD47" s="95">
        <v>180.49288899999999</v>
      </c>
      <c r="AE47" s="95">
        <v>188.22886700000001</v>
      </c>
      <c r="AF47" s="95">
        <v>195.356979</v>
      </c>
      <c r="AG47" s="95">
        <v>202.58007799999999</v>
      </c>
      <c r="AH47" s="95">
        <v>209.882385</v>
      </c>
      <c r="AI47" s="95">
        <v>216.98468</v>
      </c>
      <c r="AJ47" s="95">
        <v>224.14416499999999</v>
      </c>
      <c r="AK47" s="62" t="s">
        <v>164</v>
      </c>
    </row>
    <row r="49" spans="1:37" ht="15" customHeight="1">
      <c r="A49" s="94" t="s">
        <v>390</v>
      </c>
      <c r="B49" s="59" t="s">
        <v>391</v>
      </c>
      <c r="C49" s="65">
        <v>94.504654000000002</v>
      </c>
      <c r="D49" s="65">
        <v>93.176033000000004</v>
      </c>
      <c r="E49" s="65">
        <v>91.310683999999995</v>
      </c>
      <c r="F49" s="65">
        <v>88.600655000000003</v>
      </c>
      <c r="G49" s="65">
        <v>85.676697000000004</v>
      </c>
      <c r="H49" s="65">
        <v>83.393082000000007</v>
      </c>
      <c r="I49" s="65">
        <v>80.994202000000001</v>
      </c>
      <c r="J49" s="65">
        <v>78.416793999999996</v>
      </c>
      <c r="K49" s="65">
        <v>75.963286999999994</v>
      </c>
      <c r="L49" s="65">
        <v>73.684005999999997</v>
      </c>
      <c r="M49" s="65">
        <v>71.398972000000001</v>
      </c>
      <c r="N49" s="65">
        <v>68.965057000000002</v>
      </c>
      <c r="O49" s="65">
        <v>66.545531999999994</v>
      </c>
      <c r="P49" s="65">
        <v>64.120543999999995</v>
      </c>
      <c r="Q49" s="65">
        <v>62.829025000000001</v>
      </c>
      <c r="R49" s="65">
        <v>61.462147000000002</v>
      </c>
      <c r="S49" s="65">
        <v>60.181702000000001</v>
      </c>
      <c r="T49" s="65">
        <v>58.948166000000001</v>
      </c>
      <c r="U49" s="65">
        <v>57.776997000000001</v>
      </c>
      <c r="V49" s="65">
        <v>56.567588999999998</v>
      </c>
      <c r="W49" s="65">
        <v>55.523350000000001</v>
      </c>
      <c r="X49" s="65">
        <v>54.441166000000003</v>
      </c>
      <c r="Y49" s="65">
        <v>53.333255999999999</v>
      </c>
      <c r="Z49" s="65">
        <v>52.192039000000001</v>
      </c>
      <c r="AA49" s="65">
        <v>51.627144000000001</v>
      </c>
      <c r="AB49" s="65">
        <v>51.063758999999997</v>
      </c>
      <c r="AC49" s="65">
        <v>50.425755000000002</v>
      </c>
      <c r="AD49" s="65">
        <v>49.870196999999997</v>
      </c>
      <c r="AE49" s="65">
        <v>49.323185000000002</v>
      </c>
      <c r="AF49" s="65">
        <v>48.837811000000002</v>
      </c>
      <c r="AG49" s="65">
        <v>48.322043999999998</v>
      </c>
      <c r="AH49" s="65">
        <v>47.877006999999999</v>
      </c>
      <c r="AI49" s="65">
        <v>47.314250999999999</v>
      </c>
      <c r="AJ49" s="65">
        <v>46.826476999999997</v>
      </c>
      <c r="AK49" s="66">
        <v>-2.1271999999999999E-2</v>
      </c>
    </row>
    <row r="50" spans="1:37" ht="15" customHeight="1">
      <c r="A50" s="94" t="s">
        <v>392</v>
      </c>
      <c r="B50" s="60" t="s">
        <v>355</v>
      </c>
      <c r="C50" s="95">
        <v>91.653205999999997</v>
      </c>
      <c r="D50" s="95">
        <v>90.538925000000006</v>
      </c>
      <c r="E50" s="95">
        <v>88.023674</v>
      </c>
      <c r="F50" s="95">
        <v>85.752135999999993</v>
      </c>
      <c r="G50" s="95">
        <v>83.230179000000007</v>
      </c>
      <c r="H50" s="95">
        <v>81.042968999999999</v>
      </c>
      <c r="I50" s="95">
        <v>78.741394</v>
      </c>
      <c r="J50" s="95">
        <v>76.263205999999997</v>
      </c>
      <c r="K50" s="95">
        <v>73.903214000000006</v>
      </c>
      <c r="L50" s="95">
        <v>71.708343999999997</v>
      </c>
      <c r="M50" s="95">
        <v>69.507537999999997</v>
      </c>
      <c r="N50" s="95">
        <v>67.160042000000004</v>
      </c>
      <c r="O50" s="95">
        <v>64.824843999999999</v>
      </c>
      <c r="P50" s="95">
        <v>62.484051000000001</v>
      </c>
      <c r="Q50" s="95">
        <v>61.247570000000003</v>
      </c>
      <c r="R50" s="95">
        <v>59.936171999999999</v>
      </c>
      <c r="S50" s="95">
        <v>58.708778000000002</v>
      </c>
      <c r="T50" s="95">
        <v>57.525630999999997</v>
      </c>
      <c r="U50" s="95">
        <v>56.401947</v>
      </c>
      <c r="V50" s="95">
        <v>55.237507000000001</v>
      </c>
      <c r="W50" s="95">
        <v>54.235290999999997</v>
      </c>
      <c r="X50" s="95">
        <v>53.197944999999997</v>
      </c>
      <c r="Y50" s="95">
        <v>52.136215</v>
      </c>
      <c r="Z50" s="95">
        <v>51.012058000000003</v>
      </c>
      <c r="AA50" s="95">
        <v>50.399712000000001</v>
      </c>
      <c r="AB50" s="95">
        <v>49.786071999999997</v>
      </c>
      <c r="AC50" s="95">
        <v>49.096877999999997</v>
      </c>
      <c r="AD50" s="95">
        <v>48.484997</v>
      </c>
      <c r="AE50" s="95">
        <v>47.878188999999999</v>
      </c>
      <c r="AF50" s="95">
        <v>47.327674999999999</v>
      </c>
      <c r="AG50" s="95">
        <v>46.743977000000001</v>
      </c>
      <c r="AH50" s="95">
        <v>46.224663</v>
      </c>
      <c r="AI50" s="95">
        <v>45.587563000000003</v>
      </c>
      <c r="AJ50" s="95">
        <v>45.018428999999998</v>
      </c>
      <c r="AK50" s="62">
        <v>-2.1597999999999999E-2</v>
      </c>
    </row>
    <row r="51" spans="1:37" ht="15" customHeight="1">
      <c r="A51" s="94" t="s">
        <v>393</v>
      </c>
      <c r="B51" s="60" t="s">
        <v>394</v>
      </c>
      <c r="C51" s="95">
        <v>2.5443410000000002</v>
      </c>
      <c r="D51" s="95">
        <v>2.271792</v>
      </c>
      <c r="E51" s="95">
        <v>2.8706550000000002</v>
      </c>
      <c r="F51" s="95">
        <v>2.3861240000000001</v>
      </c>
      <c r="G51" s="95">
        <v>1.9438960000000001</v>
      </c>
      <c r="H51" s="95">
        <v>1.809858</v>
      </c>
      <c r="I51" s="95">
        <v>1.6794629999999999</v>
      </c>
      <c r="J51" s="95">
        <v>1.553509</v>
      </c>
      <c r="K51" s="95">
        <v>1.4358820000000001</v>
      </c>
      <c r="L51" s="95">
        <v>1.3331900000000001</v>
      </c>
      <c r="M51" s="95">
        <v>1.2310399999999999</v>
      </c>
      <c r="N51" s="95">
        <v>1.131057</v>
      </c>
      <c r="O51" s="95">
        <v>1.0357799999999999</v>
      </c>
      <c r="P51" s="95">
        <v>0.94113199999999997</v>
      </c>
      <c r="Q51" s="95">
        <v>0.86363000000000001</v>
      </c>
      <c r="R51" s="95">
        <v>0.78897600000000001</v>
      </c>
      <c r="S51" s="95">
        <v>0.71611899999999995</v>
      </c>
      <c r="T51" s="95">
        <v>0.64781699999999998</v>
      </c>
      <c r="U51" s="95">
        <v>0.58395200000000003</v>
      </c>
      <c r="V51" s="95">
        <v>0.52879500000000002</v>
      </c>
      <c r="W51" s="95">
        <v>0.47258699999999998</v>
      </c>
      <c r="X51" s="95">
        <v>0.41093299999999999</v>
      </c>
      <c r="Y51" s="95">
        <v>0.347049</v>
      </c>
      <c r="Z51" s="95">
        <v>0.29088999999999998</v>
      </c>
      <c r="AA51" s="95">
        <v>0.28772700000000001</v>
      </c>
      <c r="AB51" s="95">
        <v>0.28458099999999997</v>
      </c>
      <c r="AC51" s="95">
        <v>0.28101199999999998</v>
      </c>
      <c r="AD51" s="95">
        <v>0.27790500000000001</v>
      </c>
      <c r="AE51" s="95">
        <v>0.27484199999999998</v>
      </c>
      <c r="AF51" s="95">
        <v>0.27213900000000002</v>
      </c>
      <c r="AG51" s="95">
        <v>0.269256</v>
      </c>
      <c r="AH51" s="95">
        <v>0.26677299999999998</v>
      </c>
      <c r="AI51" s="95">
        <v>0.26362200000000002</v>
      </c>
      <c r="AJ51" s="95">
        <v>0.26089600000000002</v>
      </c>
      <c r="AK51" s="62">
        <v>-6.5394999999999995E-2</v>
      </c>
    </row>
    <row r="52" spans="1:37" ht="15" customHeight="1">
      <c r="A52" s="94" t="s">
        <v>395</v>
      </c>
      <c r="B52" s="60" t="s">
        <v>387</v>
      </c>
      <c r="C52" s="95">
        <v>0</v>
      </c>
      <c r="D52" s="95">
        <v>0</v>
      </c>
      <c r="E52" s="95">
        <v>0</v>
      </c>
      <c r="F52" s="95">
        <v>0</v>
      </c>
      <c r="G52" s="95">
        <v>0</v>
      </c>
      <c r="H52" s="95">
        <v>0</v>
      </c>
      <c r="I52" s="95">
        <v>0</v>
      </c>
      <c r="J52" s="95">
        <v>0</v>
      </c>
      <c r="K52" s="95">
        <v>0</v>
      </c>
      <c r="L52" s="95">
        <v>0</v>
      </c>
      <c r="M52" s="95">
        <v>0</v>
      </c>
      <c r="N52" s="95">
        <v>0</v>
      </c>
      <c r="O52" s="95">
        <v>0</v>
      </c>
      <c r="P52" s="95">
        <v>0</v>
      </c>
      <c r="Q52" s="95">
        <v>0</v>
      </c>
      <c r="R52" s="95">
        <v>0</v>
      </c>
      <c r="S52" s="95">
        <v>0</v>
      </c>
      <c r="T52" s="95">
        <v>0</v>
      </c>
      <c r="U52" s="95">
        <v>0</v>
      </c>
      <c r="V52" s="95">
        <v>0</v>
      </c>
      <c r="W52" s="95">
        <v>0</v>
      </c>
      <c r="X52" s="95">
        <v>0</v>
      </c>
      <c r="Y52" s="95">
        <v>0</v>
      </c>
      <c r="Z52" s="95">
        <v>0</v>
      </c>
      <c r="AA52" s="95">
        <v>0</v>
      </c>
      <c r="AB52" s="95">
        <v>0</v>
      </c>
      <c r="AC52" s="95">
        <v>0</v>
      </c>
      <c r="AD52" s="95">
        <v>0</v>
      </c>
      <c r="AE52" s="95">
        <v>0</v>
      </c>
      <c r="AF52" s="95">
        <v>0</v>
      </c>
      <c r="AG52" s="95">
        <v>0</v>
      </c>
      <c r="AH52" s="95">
        <v>0</v>
      </c>
      <c r="AI52" s="95">
        <v>0</v>
      </c>
      <c r="AJ52" s="95">
        <v>0</v>
      </c>
      <c r="AK52" s="62" t="s">
        <v>164</v>
      </c>
    </row>
    <row r="53" spans="1:37" ht="15" customHeight="1">
      <c r="A53" s="94" t="s">
        <v>396</v>
      </c>
      <c r="B53" s="60" t="s">
        <v>389</v>
      </c>
      <c r="C53" s="95">
        <v>0.30710300000000001</v>
      </c>
      <c r="D53" s="95">
        <v>0.365315</v>
      </c>
      <c r="E53" s="95">
        <v>0.416356</v>
      </c>
      <c r="F53" s="95">
        <v>0.46239799999999998</v>
      </c>
      <c r="G53" s="95">
        <v>0.50262099999999998</v>
      </c>
      <c r="H53" s="95">
        <v>0.54025599999999996</v>
      </c>
      <c r="I53" s="95">
        <v>0.57334200000000002</v>
      </c>
      <c r="J53" s="95">
        <v>0.60007500000000003</v>
      </c>
      <c r="K53" s="95">
        <v>0.62419500000000006</v>
      </c>
      <c r="L53" s="95">
        <v>0.64247299999999996</v>
      </c>
      <c r="M53" s="95">
        <v>0.66039300000000001</v>
      </c>
      <c r="N53" s="95">
        <v>0.67395499999999997</v>
      </c>
      <c r="O53" s="95">
        <v>0.68490799999999996</v>
      </c>
      <c r="P53" s="95">
        <v>0.69536299999999995</v>
      </c>
      <c r="Q53" s="95">
        <v>0.71782500000000005</v>
      </c>
      <c r="R53" s="95">
        <v>0.73700100000000002</v>
      </c>
      <c r="S53" s="95">
        <v>0.75680400000000003</v>
      </c>
      <c r="T53" s="95">
        <v>0.77471900000000005</v>
      </c>
      <c r="U53" s="95">
        <v>0.79109499999999999</v>
      </c>
      <c r="V53" s="95">
        <v>0.80128299999999997</v>
      </c>
      <c r="W53" s="95">
        <v>0.81547199999999997</v>
      </c>
      <c r="X53" s="95">
        <v>0.83228800000000003</v>
      </c>
      <c r="Y53" s="95">
        <v>0.84999199999999997</v>
      </c>
      <c r="Z53" s="95">
        <v>0.88909300000000002</v>
      </c>
      <c r="AA53" s="95">
        <v>0.93970299999999995</v>
      </c>
      <c r="AB53" s="95">
        <v>0.99310500000000002</v>
      </c>
      <c r="AC53" s="95">
        <v>1.0478639999999999</v>
      </c>
      <c r="AD53" s="95">
        <v>1.1072960000000001</v>
      </c>
      <c r="AE53" s="95">
        <v>1.170156</v>
      </c>
      <c r="AF53" s="95">
        <v>1.237994</v>
      </c>
      <c r="AG53" s="95">
        <v>1.308813</v>
      </c>
      <c r="AH53" s="95">
        <v>1.385572</v>
      </c>
      <c r="AI53" s="95">
        <v>1.4630669999999999</v>
      </c>
      <c r="AJ53" s="95">
        <v>1.5471550000000001</v>
      </c>
      <c r="AK53" s="62">
        <v>4.6138999999999999E-2</v>
      </c>
    </row>
    <row r="55" spans="1:37" ht="15" customHeight="1">
      <c r="A55" s="94" t="s">
        <v>397</v>
      </c>
      <c r="B55" s="59" t="s">
        <v>398</v>
      </c>
      <c r="C55" s="65">
        <v>960.14685099999997</v>
      </c>
      <c r="D55" s="65">
        <v>917.64831500000003</v>
      </c>
      <c r="E55" s="65">
        <v>1039.9399410000001</v>
      </c>
      <c r="F55" s="65">
        <v>861.38769500000001</v>
      </c>
      <c r="G55" s="65">
        <v>864.63275099999998</v>
      </c>
      <c r="H55" s="65">
        <v>921.43585199999995</v>
      </c>
      <c r="I55" s="65">
        <v>932.80645800000002</v>
      </c>
      <c r="J55" s="65">
        <v>938.77172900000005</v>
      </c>
      <c r="K55" s="65">
        <v>944.17797900000005</v>
      </c>
      <c r="L55" s="65">
        <v>940.25952099999995</v>
      </c>
      <c r="M55" s="65">
        <v>937.01995799999997</v>
      </c>
      <c r="N55" s="65">
        <v>935.38958700000001</v>
      </c>
      <c r="O55" s="65">
        <v>937.24493399999994</v>
      </c>
      <c r="P55" s="65">
        <v>929.83154300000001</v>
      </c>
      <c r="Q55" s="65">
        <v>929.154358</v>
      </c>
      <c r="R55" s="65">
        <v>928.99780299999998</v>
      </c>
      <c r="S55" s="65">
        <v>929.02294900000004</v>
      </c>
      <c r="T55" s="65">
        <v>928.19122300000004</v>
      </c>
      <c r="U55" s="65">
        <v>914.26904300000001</v>
      </c>
      <c r="V55" s="65">
        <v>913.76849400000003</v>
      </c>
      <c r="W55" s="65">
        <v>910.80358899999999</v>
      </c>
      <c r="X55" s="65">
        <v>910.24292000000003</v>
      </c>
      <c r="Y55" s="65">
        <v>909.77551300000005</v>
      </c>
      <c r="Z55" s="65">
        <v>909.51110800000004</v>
      </c>
      <c r="AA55" s="65">
        <v>908.90014599999995</v>
      </c>
      <c r="AB55" s="65">
        <v>907.31933600000002</v>
      </c>
      <c r="AC55" s="65">
        <v>914.15081799999996</v>
      </c>
      <c r="AD55" s="65">
        <v>907.85168499999997</v>
      </c>
      <c r="AE55" s="65">
        <v>908.36199999999997</v>
      </c>
      <c r="AF55" s="65">
        <v>905.30816700000003</v>
      </c>
      <c r="AG55" s="65">
        <v>905.43853799999999</v>
      </c>
      <c r="AH55" s="65">
        <v>905.90100099999995</v>
      </c>
      <c r="AI55" s="65">
        <v>907.053406</v>
      </c>
      <c r="AJ55" s="65">
        <v>907.21014400000001</v>
      </c>
      <c r="AK55" s="66">
        <v>-3.57E-4</v>
      </c>
    </row>
    <row r="56" spans="1:37" ht="15" customHeight="1">
      <c r="A56" s="94" t="s">
        <v>399</v>
      </c>
      <c r="B56" s="60" t="s">
        <v>355</v>
      </c>
      <c r="C56" s="95">
        <v>285.263306</v>
      </c>
      <c r="D56" s="95">
        <v>284.82601899999997</v>
      </c>
      <c r="E56" s="95">
        <v>373.96890300000001</v>
      </c>
      <c r="F56" s="95">
        <v>494.09884599999998</v>
      </c>
      <c r="G56" s="95">
        <v>391.50769000000003</v>
      </c>
      <c r="H56" s="95">
        <v>314.95715300000001</v>
      </c>
      <c r="I56" s="95">
        <v>296.20208700000001</v>
      </c>
      <c r="J56" s="95">
        <v>285.24069200000002</v>
      </c>
      <c r="K56" s="95">
        <v>278.031769</v>
      </c>
      <c r="L56" s="95">
        <v>281.650757</v>
      </c>
      <c r="M56" s="95">
        <v>280.631348</v>
      </c>
      <c r="N56" s="95">
        <v>281.71130399999998</v>
      </c>
      <c r="O56" s="95">
        <v>280.30639600000001</v>
      </c>
      <c r="P56" s="95">
        <v>288.04791299999999</v>
      </c>
      <c r="Q56" s="95">
        <v>286.99865699999998</v>
      </c>
      <c r="R56" s="95">
        <v>286.33151199999998</v>
      </c>
      <c r="S56" s="95">
        <v>286.49920700000001</v>
      </c>
      <c r="T56" s="95">
        <v>287.07067899999998</v>
      </c>
      <c r="U56" s="95">
        <v>301.24890099999999</v>
      </c>
      <c r="V56" s="95">
        <v>300.15228300000001</v>
      </c>
      <c r="W56" s="95">
        <v>303.86437999999998</v>
      </c>
      <c r="X56" s="95">
        <v>303.56253099999998</v>
      </c>
      <c r="Y56" s="95">
        <v>302.87805200000003</v>
      </c>
      <c r="Z56" s="95">
        <v>303.27157599999998</v>
      </c>
      <c r="AA56" s="95">
        <v>303.63647500000002</v>
      </c>
      <c r="AB56" s="95">
        <v>303.445312</v>
      </c>
      <c r="AC56" s="95">
        <v>298.36987299999998</v>
      </c>
      <c r="AD56" s="95">
        <v>307.66924999999998</v>
      </c>
      <c r="AE56" s="95">
        <v>309.144409</v>
      </c>
      <c r="AF56" s="95">
        <v>315.045593</v>
      </c>
      <c r="AG56" s="95">
        <v>317.74377399999997</v>
      </c>
      <c r="AH56" s="95">
        <v>321.20062300000001</v>
      </c>
      <c r="AI56" s="95">
        <v>323.933899</v>
      </c>
      <c r="AJ56" s="95">
        <v>326.75662199999999</v>
      </c>
      <c r="AK56" s="62">
        <v>4.3010000000000001E-3</v>
      </c>
    </row>
    <row r="57" spans="1:37" ht="15" customHeight="1">
      <c r="A57" s="94" t="s">
        <v>400</v>
      </c>
      <c r="B57" s="60" t="s">
        <v>394</v>
      </c>
      <c r="C57" s="95">
        <v>674.88354500000003</v>
      </c>
      <c r="D57" s="95">
        <v>625.86169400000006</v>
      </c>
      <c r="E57" s="95">
        <v>652.02740500000004</v>
      </c>
      <c r="F57" s="95">
        <v>349.82702599999999</v>
      </c>
      <c r="G57" s="95">
        <v>422.30859400000003</v>
      </c>
      <c r="H57" s="95">
        <v>564.66162099999997</v>
      </c>
      <c r="I57" s="95">
        <v>591.87237500000003</v>
      </c>
      <c r="J57" s="95">
        <v>605.63671899999997</v>
      </c>
      <c r="K57" s="95">
        <v>618.08343500000001</v>
      </c>
      <c r="L57" s="95">
        <v>607.13555899999994</v>
      </c>
      <c r="M57" s="95">
        <v>597.92907700000001</v>
      </c>
      <c r="N57" s="95">
        <v>592.59442100000001</v>
      </c>
      <c r="O57" s="95">
        <v>596.05401600000005</v>
      </c>
      <c r="P57" s="95">
        <v>575.94140600000003</v>
      </c>
      <c r="Q57" s="95">
        <v>572.93042000000003</v>
      </c>
      <c r="R57" s="95">
        <v>571.26422100000002</v>
      </c>
      <c r="S57" s="95">
        <v>570.04894999999999</v>
      </c>
      <c r="T57" s="95">
        <v>566.61694299999999</v>
      </c>
      <c r="U57" s="95">
        <v>530.089111</v>
      </c>
      <c r="V57" s="95">
        <v>527.55548099999999</v>
      </c>
      <c r="W57" s="95">
        <v>518.73828100000003</v>
      </c>
      <c r="X57" s="95">
        <v>516.01593000000003</v>
      </c>
      <c r="Y57" s="95">
        <v>513.54736300000002</v>
      </c>
      <c r="Z57" s="95">
        <v>511.546967</v>
      </c>
      <c r="AA57" s="95">
        <v>508.67346199999997</v>
      </c>
      <c r="AB57" s="95">
        <v>503.50537100000003</v>
      </c>
      <c r="AC57" s="95">
        <v>519.27526899999998</v>
      </c>
      <c r="AD57" s="95">
        <v>502.11007699999999</v>
      </c>
      <c r="AE57" s="95">
        <v>501.87503099999998</v>
      </c>
      <c r="AF57" s="95">
        <v>492.98715199999998</v>
      </c>
      <c r="AG57" s="95">
        <v>492.03060900000003</v>
      </c>
      <c r="AH57" s="95">
        <v>491.98278800000003</v>
      </c>
      <c r="AI57" s="95">
        <v>493.63382000000001</v>
      </c>
      <c r="AJ57" s="95">
        <v>492.72683699999999</v>
      </c>
      <c r="AK57" s="62">
        <v>-7.4460000000000004E-3</v>
      </c>
    </row>
    <row r="58" spans="1:37" ht="15" customHeight="1">
      <c r="A58" s="94" t="s">
        <v>401</v>
      </c>
      <c r="B58" s="60" t="s">
        <v>387</v>
      </c>
      <c r="C58" s="95">
        <v>0</v>
      </c>
      <c r="D58" s="95">
        <v>0</v>
      </c>
      <c r="E58" s="95">
        <v>0</v>
      </c>
      <c r="F58" s="95">
        <v>0</v>
      </c>
      <c r="G58" s="95">
        <v>0</v>
      </c>
      <c r="H58" s="95">
        <v>0</v>
      </c>
      <c r="I58" s="95">
        <v>0</v>
      </c>
      <c r="J58" s="95">
        <v>0</v>
      </c>
      <c r="K58" s="95">
        <v>0</v>
      </c>
      <c r="L58" s="95">
        <v>0</v>
      </c>
      <c r="M58" s="95">
        <v>0</v>
      </c>
      <c r="N58" s="95">
        <v>0</v>
      </c>
      <c r="O58" s="95">
        <v>0</v>
      </c>
      <c r="P58" s="95">
        <v>0</v>
      </c>
      <c r="Q58" s="95">
        <v>0</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c r="AI58" s="95">
        <v>0</v>
      </c>
      <c r="AJ58" s="95">
        <v>0</v>
      </c>
      <c r="AK58" s="62" t="s">
        <v>164</v>
      </c>
    </row>
    <row r="59" spans="1:37" ht="15" customHeight="1">
      <c r="A59" s="94" t="s">
        <v>402</v>
      </c>
      <c r="B59" s="60" t="s">
        <v>389</v>
      </c>
      <c r="C59" s="95">
        <v>0</v>
      </c>
      <c r="D59" s="95">
        <v>6.9605560000000004</v>
      </c>
      <c r="E59" s="95">
        <v>13.943656000000001</v>
      </c>
      <c r="F59" s="95">
        <v>17.461791999999999</v>
      </c>
      <c r="G59" s="95">
        <v>50.816451999999998</v>
      </c>
      <c r="H59" s="95">
        <v>41.817055000000003</v>
      </c>
      <c r="I59" s="95">
        <v>44.731971999999999</v>
      </c>
      <c r="J59" s="95">
        <v>47.894317999999998</v>
      </c>
      <c r="K59" s="95">
        <v>48.062716999999999</v>
      </c>
      <c r="L59" s="95">
        <v>51.473216999999998</v>
      </c>
      <c r="M59" s="95">
        <v>58.459518000000003</v>
      </c>
      <c r="N59" s="95">
        <v>61.083857999999999</v>
      </c>
      <c r="O59" s="95">
        <v>60.884529000000001</v>
      </c>
      <c r="P59" s="95">
        <v>65.842254999999994</v>
      </c>
      <c r="Q59" s="95">
        <v>69.225288000000006</v>
      </c>
      <c r="R59" s="95">
        <v>71.402107000000001</v>
      </c>
      <c r="S59" s="95">
        <v>72.474823000000001</v>
      </c>
      <c r="T59" s="95">
        <v>74.503608999999997</v>
      </c>
      <c r="U59" s="95">
        <v>82.931045999999995</v>
      </c>
      <c r="V59" s="95">
        <v>86.060730000000007</v>
      </c>
      <c r="W59" s="95">
        <v>88.200905000000006</v>
      </c>
      <c r="X59" s="95">
        <v>90.664412999999996</v>
      </c>
      <c r="Y59" s="95">
        <v>93.350127999999998</v>
      </c>
      <c r="Z59" s="95">
        <v>94.692588999999998</v>
      </c>
      <c r="AA59" s="95">
        <v>96.590179000000006</v>
      </c>
      <c r="AB59" s="95">
        <v>100.36863700000001</v>
      </c>
      <c r="AC59" s="95">
        <v>96.505661000000003</v>
      </c>
      <c r="AD59" s="95">
        <v>98.072402999999994</v>
      </c>
      <c r="AE59" s="95">
        <v>97.342567000000003</v>
      </c>
      <c r="AF59" s="95">
        <v>97.275435999999999</v>
      </c>
      <c r="AG59" s="95">
        <v>95.664139000000006</v>
      </c>
      <c r="AH59" s="95">
        <v>92.717597999999995</v>
      </c>
      <c r="AI59" s="95">
        <v>89.485657000000003</v>
      </c>
      <c r="AJ59" s="95">
        <v>87.726692</v>
      </c>
      <c r="AK59" s="62">
        <v>8.2405999999999993E-2</v>
      </c>
    </row>
    <row r="61" spans="1:37" ht="15" customHeight="1">
      <c r="A61" s="94" t="s">
        <v>403</v>
      </c>
      <c r="B61" s="59" t="s">
        <v>404</v>
      </c>
      <c r="C61" s="65">
        <v>2523.8835450000001</v>
      </c>
      <c r="D61" s="65">
        <v>2543.4819339999999</v>
      </c>
      <c r="E61" s="65">
        <v>2581.4345699999999</v>
      </c>
      <c r="F61" s="65">
        <v>2614.51001</v>
      </c>
      <c r="G61" s="65">
        <v>2639.6379390000002</v>
      </c>
      <c r="H61" s="65">
        <v>2662.8723140000002</v>
      </c>
      <c r="I61" s="65">
        <v>2688.826172</v>
      </c>
      <c r="J61" s="65">
        <v>2716.3872070000002</v>
      </c>
      <c r="K61" s="65">
        <v>2747.7563479999999</v>
      </c>
      <c r="L61" s="65">
        <v>2778.9208979999999</v>
      </c>
      <c r="M61" s="65">
        <v>2807.338135</v>
      </c>
      <c r="N61" s="65">
        <v>2845.0900879999999</v>
      </c>
      <c r="O61" s="65">
        <v>2875.0952149999998</v>
      </c>
      <c r="P61" s="65">
        <v>2905.7216800000001</v>
      </c>
      <c r="Q61" s="65">
        <v>2937.7036130000001</v>
      </c>
      <c r="R61" s="65">
        <v>2968.9704590000001</v>
      </c>
      <c r="S61" s="65">
        <v>3000.345703</v>
      </c>
      <c r="T61" s="65">
        <v>3033.1635740000002</v>
      </c>
      <c r="U61" s="65">
        <v>3065.0688479999999</v>
      </c>
      <c r="V61" s="65">
        <v>3096.1477049999999</v>
      </c>
      <c r="W61" s="65">
        <v>3127.6625979999999</v>
      </c>
      <c r="X61" s="65">
        <v>3159.907471</v>
      </c>
      <c r="Y61" s="65">
        <v>3191.2871089999999</v>
      </c>
      <c r="Z61" s="65">
        <v>3223.0402829999998</v>
      </c>
      <c r="AA61" s="65">
        <v>3254.7138669999999</v>
      </c>
      <c r="AB61" s="65">
        <v>3286.7016600000002</v>
      </c>
      <c r="AC61" s="65">
        <v>3321.4682619999999</v>
      </c>
      <c r="AD61" s="65">
        <v>3356.641846</v>
      </c>
      <c r="AE61" s="65">
        <v>3394.1916500000002</v>
      </c>
      <c r="AF61" s="65">
        <v>3431.6545409999999</v>
      </c>
      <c r="AG61" s="65">
        <v>3470.7895509999998</v>
      </c>
      <c r="AH61" s="65">
        <v>3509.7302249999998</v>
      </c>
      <c r="AI61" s="65">
        <v>3548.4204100000002</v>
      </c>
      <c r="AJ61" s="65">
        <v>3586.2966310000002</v>
      </c>
      <c r="AK61" s="66">
        <v>1.0795000000000001E-2</v>
      </c>
    </row>
    <row r="62" spans="1:37" ht="15" customHeight="1">
      <c r="A62" s="94" t="s">
        <v>405</v>
      </c>
      <c r="B62" s="60" t="s">
        <v>406</v>
      </c>
      <c r="C62" s="95">
        <v>2501.3615719999998</v>
      </c>
      <c r="D62" s="95">
        <v>2520.9882809999999</v>
      </c>
      <c r="E62" s="95">
        <v>2558.9643550000001</v>
      </c>
      <c r="F62" s="95">
        <v>2592.0590820000002</v>
      </c>
      <c r="G62" s="95">
        <v>2617.203125</v>
      </c>
      <c r="H62" s="95">
        <v>2640.4506839999999</v>
      </c>
      <c r="I62" s="95">
        <v>2666.4155270000001</v>
      </c>
      <c r="J62" s="95">
        <v>2693.985596</v>
      </c>
      <c r="K62" s="95">
        <v>2725.3623050000001</v>
      </c>
      <c r="L62" s="95">
        <v>2756.533203</v>
      </c>
      <c r="M62" s="95">
        <v>2784.9555660000001</v>
      </c>
      <c r="N62" s="95">
        <v>2822.7116700000001</v>
      </c>
      <c r="O62" s="95">
        <v>2852.7202149999998</v>
      </c>
      <c r="P62" s="95">
        <v>2883.3496089999999</v>
      </c>
      <c r="Q62" s="95">
        <v>2915.3339839999999</v>
      </c>
      <c r="R62" s="95">
        <v>2946.6027829999998</v>
      </c>
      <c r="S62" s="95">
        <v>2977.9797359999998</v>
      </c>
      <c r="T62" s="95">
        <v>3010.7990719999998</v>
      </c>
      <c r="U62" s="95">
        <v>3042.7053219999998</v>
      </c>
      <c r="V62" s="95">
        <v>3073.7851559999999</v>
      </c>
      <c r="W62" s="95">
        <v>3105.3007809999999</v>
      </c>
      <c r="X62" s="95">
        <v>3137.5463869999999</v>
      </c>
      <c r="Y62" s="95">
        <v>3168.9265140000002</v>
      </c>
      <c r="Z62" s="95">
        <v>3200.6801759999998</v>
      </c>
      <c r="AA62" s="95">
        <v>3232.3542480000001</v>
      </c>
      <c r="AB62" s="95">
        <v>3264.3422850000002</v>
      </c>
      <c r="AC62" s="95">
        <v>3299.1091310000002</v>
      </c>
      <c r="AD62" s="95">
        <v>3334.2829590000001</v>
      </c>
      <c r="AE62" s="95">
        <v>3371.8327640000002</v>
      </c>
      <c r="AF62" s="95">
        <v>3409.2958979999999</v>
      </c>
      <c r="AG62" s="95">
        <v>3448.4309079999998</v>
      </c>
      <c r="AH62" s="95">
        <v>3487.3718260000001</v>
      </c>
      <c r="AI62" s="95">
        <v>3526.0620119999999</v>
      </c>
      <c r="AJ62" s="95">
        <v>3563.938232</v>
      </c>
      <c r="AK62" s="62">
        <v>1.0878000000000001E-2</v>
      </c>
    </row>
    <row r="63" spans="1:37" ht="15" customHeight="1">
      <c r="A63" s="94" t="s">
        <v>407</v>
      </c>
      <c r="B63" s="60" t="s">
        <v>178</v>
      </c>
      <c r="C63" s="95">
        <v>22.522085000000001</v>
      </c>
      <c r="D63" s="95">
        <v>22.493759000000001</v>
      </c>
      <c r="E63" s="95">
        <v>22.470324000000002</v>
      </c>
      <c r="F63" s="95">
        <v>22.450932999999999</v>
      </c>
      <c r="G63" s="95">
        <v>22.434891</v>
      </c>
      <c r="H63" s="95">
        <v>22.421617999999999</v>
      </c>
      <c r="I63" s="95">
        <v>22.410634999999999</v>
      </c>
      <c r="J63" s="95">
        <v>22.401547999999998</v>
      </c>
      <c r="K63" s="95">
        <v>22.394031999999999</v>
      </c>
      <c r="L63" s="95">
        <v>22.387812</v>
      </c>
      <c r="M63" s="95">
        <v>22.382666</v>
      </c>
      <c r="N63" s="95">
        <v>22.378406999999999</v>
      </c>
      <c r="O63" s="95">
        <v>22.374884000000002</v>
      </c>
      <c r="P63" s="95">
        <v>22.371969</v>
      </c>
      <c r="Q63" s="95">
        <v>22.369558000000001</v>
      </c>
      <c r="R63" s="95">
        <v>22.367563000000001</v>
      </c>
      <c r="S63" s="95">
        <v>22.365911000000001</v>
      </c>
      <c r="T63" s="95">
        <v>22.364546000000001</v>
      </c>
      <c r="U63" s="95">
        <v>22.363416999999998</v>
      </c>
      <c r="V63" s="95">
        <v>22.362480000000001</v>
      </c>
      <c r="W63" s="95">
        <v>22.361708</v>
      </c>
      <c r="X63" s="95">
        <v>22.361066999999998</v>
      </c>
      <c r="Y63" s="95">
        <v>22.360537999999998</v>
      </c>
      <c r="Z63" s="95">
        <v>22.360099999999999</v>
      </c>
      <c r="AA63" s="95">
        <v>22.359736999999999</v>
      </c>
      <c r="AB63" s="95">
        <v>22.359438000000001</v>
      </c>
      <c r="AC63" s="95">
        <v>22.359190000000002</v>
      </c>
      <c r="AD63" s="95">
        <v>22.358984</v>
      </c>
      <c r="AE63" s="95">
        <v>22.358813999999999</v>
      </c>
      <c r="AF63" s="95">
        <v>22.358673</v>
      </c>
      <c r="AG63" s="95">
        <v>22.358557000000001</v>
      </c>
      <c r="AH63" s="95">
        <v>22.358460999999998</v>
      </c>
      <c r="AI63" s="95">
        <v>22.358381000000001</v>
      </c>
      <c r="AJ63" s="95">
        <v>22.358315000000001</v>
      </c>
      <c r="AK63" s="62">
        <v>-1.8900000000000001E-4</v>
      </c>
    </row>
    <row r="65" spans="1:37" ht="15" customHeight="1">
      <c r="A65" s="94" t="s">
        <v>408</v>
      </c>
      <c r="B65" s="59" t="s">
        <v>409</v>
      </c>
      <c r="C65" s="65">
        <v>535.69592299999999</v>
      </c>
      <c r="D65" s="65">
        <v>557.78417999999999</v>
      </c>
      <c r="E65" s="65">
        <v>587.65661599999999</v>
      </c>
      <c r="F65" s="65">
        <v>589.98644999999999</v>
      </c>
      <c r="G65" s="65">
        <v>581.88269000000003</v>
      </c>
      <c r="H65" s="65">
        <v>575.97540300000003</v>
      </c>
      <c r="I65" s="65">
        <v>559.00671399999999</v>
      </c>
      <c r="J65" s="65">
        <v>548.074524</v>
      </c>
      <c r="K65" s="65">
        <v>546.87756300000001</v>
      </c>
      <c r="L65" s="65">
        <v>545.98315400000001</v>
      </c>
      <c r="M65" s="65">
        <v>546.44183299999997</v>
      </c>
      <c r="N65" s="65">
        <v>550.221497</v>
      </c>
      <c r="O65" s="65">
        <v>551.22302200000001</v>
      </c>
      <c r="P65" s="65">
        <v>551.82995600000004</v>
      </c>
      <c r="Q65" s="65">
        <v>552.40789800000005</v>
      </c>
      <c r="R65" s="65">
        <v>552.957764</v>
      </c>
      <c r="S65" s="65">
        <v>553.48303199999998</v>
      </c>
      <c r="T65" s="65">
        <v>553.98565699999995</v>
      </c>
      <c r="U65" s="65">
        <v>554.464966</v>
      </c>
      <c r="V65" s="65">
        <v>554.93469200000004</v>
      </c>
      <c r="W65" s="65">
        <v>555.39172399999995</v>
      </c>
      <c r="X65" s="65">
        <v>555.83734100000004</v>
      </c>
      <c r="Y65" s="65">
        <v>556.27050799999995</v>
      </c>
      <c r="Z65" s="65">
        <v>556.69116199999996</v>
      </c>
      <c r="AA65" s="65">
        <v>557.09832800000004</v>
      </c>
      <c r="AB65" s="65">
        <v>557.49182099999996</v>
      </c>
      <c r="AC65" s="65">
        <v>557.87426800000003</v>
      </c>
      <c r="AD65" s="65">
        <v>558.23791500000004</v>
      </c>
      <c r="AE65" s="65">
        <v>558.589294</v>
      </c>
      <c r="AF65" s="65">
        <v>558.92456100000004</v>
      </c>
      <c r="AG65" s="65">
        <v>559.245361</v>
      </c>
      <c r="AH65" s="65">
        <v>559.550659</v>
      </c>
      <c r="AI65" s="65">
        <v>559.27002000000005</v>
      </c>
      <c r="AJ65" s="65">
        <v>559.03436299999998</v>
      </c>
      <c r="AK65" s="66">
        <v>6.9999999999999994E-5</v>
      </c>
    </row>
    <row r="66" spans="1:37" ht="15" customHeight="1">
      <c r="A66" s="94" t="s">
        <v>410</v>
      </c>
      <c r="B66" s="60" t="s">
        <v>411</v>
      </c>
      <c r="C66" s="95">
        <v>411.78094499999997</v>
      </c>
      <c r="D66" s="95">
        <v>429.67706299999998</v>
      </c>
      <c r="E66" s="95">
        <v>447.25524899999999</v>
      </c>
      <c r="F66" s="95">
        <v>451.317047</v>
      </c>
      <c r="G66" s="95">
        <v>447.31091300000003</v>
      </c>
      <c r="H66" s="95">
        <v>442.75149499999998</v>
      </c>
      <c r="I66" s="95">
        <v>429.70361300000002</v>
      </c>
      <c r="J66" s="95">
        <v>421.29785199999998</v>
      </c>
      <c r="K66" s="95">
        <v>420.37631199999998</v>
      </c>
      <c r="L66" s="95">
        <v>419.68908699999997</v>
      </c>
      <c r="M66" s="95">
        <v>420.04205300000001</v>
      </c>
      <c r="N66" s="95">
        <v>422.947632</v>
      </c>
      <c r="O66" s="95">
        <v>423.71697999999998</v>
      </c>
      <c r="P66" s="95">
        <v>424.18457000000001</v>
      </c>
      <c r="Q66" s="95">
        <v>424.62884500000001</v>
      </c>
      <c r="R66" s="95">
        <v>425.051422</v>
      </c>
      <c r="S66" s="95">
        <v>425.45495599999998</v>
      </c>
      <c r="T66" s="95">
        <v>425.84115600000001</v>
      </c>
      <c r="U66" s="95">
        <v>426.212402</v>
      </c>
      <c r="V66" s="95">
        <v>426.57330300000001</v>
      </c>
      <c r="W66" s="95">
        <v>426.92501800000002</v>
      </c>
      <c r="X66" s="95">
        <v>427.267517</v>
      </c>
      <c r="Y66" s="95">
        <v>427.60040300000003</v>
      </c>
      <c r="Z66" s="95">
        <v>427.92352299999999</v>
      </c>
      <c r="AA66" s="95">
        <v>428.23648100000003</v>
      </c>
      <c r="AB66" s="95">
        <v>428.539062</v>
      </c>
      <c r="AC66" s="95">
        <v>428.83099399999998</v>
      </c>
      <c r="AD66" s="95">
        <v>429.11193800000001</v>
      </c>
      <c r="AE66" s="95">
        <v>429.38171399999999</v>
      </c>
      <c r="AF66" s="95">
        <v>429.64001500000001</v>
      </c>
      <c r="AG66" s="95">
        <v>429.88656600000002</v>
      </c>
      <c r="AH66" s="95">
        <v>430.12118500000003</v>
      </c>
      <c r="AI66" s="95">
        <v>429.90521200000001</v>
      </c>
      <c r="AJ66" s="95">
        <v>429.724152</v>
      </c>
      <c r="AK66" s="62">
        <v>3.0000000000000001E-6</v>
      </c>
    </row>
    <row r="67" spans="1:37" ht="15" customHeight="1">
      <c r="A67" s="94" t="s">
        <v>412</v>
      </c>
      <c r="B67" s="60" t="s">
        <v>385</v>
      </c>
      <c r="C67" s="95">
        <v>19.091374999999999</v>
      </c>
      <c r="D67" s="95">
        <v>18.727858999999999</v>
      </c>
      <c r="E67" s="95">
        <v>26.547353999999999</v>
      </c>
      <c r="F67" s="95">
        <v>23.781448000000001</v>
      </c>
      <c r="G67" s="95">
        <v>20.703631999999999</v>
      </c>
      <c r="H67" s="95">
        <v>20.51643</v>
      </c>
      <c r="I67" s="95">
        <v>19.917072000000001</v>
      </c>
      <c r="J67" s="95">
        <v>19.530453000000001</v>
      </c>
      <c r="K67" s="95">
        <v>19.489598999999998</v>
      </c>
      <c r="L67" s="95">
        <v>19.457395999999999</v>
      </c>
      <c r="M67" s="95">
        <v>19.473237999999998</v>
      </c>
      <c r="N67" s="95">
        <v>19.607624000000001</v>
      </c>
      <c r="O67" s="95">
        <v>19.644047</v>
      </c>
      <c r="P67" s="95">
        <v>19.664268</v>
      </c>
      <c r="Q67" s="95">
        <v>19.684888999999998</v>
      </c>
      <c r="R67" s="95">
        <v>19.704618</v>
      </c>
      <c r="S67" s="95">
        <v>19.723618999999999</v>
      </c>
      <c r="T67" s="95">
        <v>19.741726</v>
      </c>
      <c r="U67" s="95">
        <v>19.755281</v>
      </c>
      <c r="V67" s="95">
        <v>19.772219</v>
      </c>
      <c r="W67" s="95">
        <v>19.788031</v>
      </c>
      <c r="X67" s="95">
        <v>19.803954999999998</v>
      </c>
      <c r="Y67" s="95">
        <v>19.819462000000001</v>
      </c>
      <c r="Z67" s="95">
        <v>19.834751000000001</v>
      </c>
      <c r="AA67" s="95">
        <v>19.849299999999999</v>
      </c>
      <c r="AB67" s="95">
        <v>19.863184</v>
      </c>
      <c r="AC67" s="95">
        <v>19.879411999999999</v>
      </c>
      <c r="AD67" s="95">
        <v>19.890582999999999</v>
      </c>
      <c r="AE67" s="95">
        <v>19.90353</v>
      </c>
      <c r="AF67" s="95">
        <v>19.914705000000001</v>
      </c>
      <c r="AG67" s="95">
        <v>19.926200999999999</v>
      </c>
      <c r="AH67" s="95">
        <v>19.93713</v>
      </c>
      <c r="AI67" s="95">
        <v>19.92745</v>
      </c>
      <c r="AJ67" s="95">
        <v>19.918989</v>
      </c>
      <c r="AK67" s="62">
        <v>1.9289999999999999E-3</v>
      </c>
    </row>
    <row r="68" spans="1:37" ht="15" customHeight="1">
      <c r="A68" s="94" t="s">
        <v>413</v>
      </c>
      <c r="B68" s="60" t="s">
        <v>414</v>
      </c>
      <c r="C68" s="95">
        <v>104.823593</v>
      </c>
      <c r="D68" s="95">
        <v>109.379265</v>
      </c>
      <c r="E68" s="95">
        <v>113.853996</v>
      </c>
      <c r="F68" s="95">
        <v>114.88797</v>
      </c>
      <c r="G68" s="95">
        <v>113.86816399999999</v>
      </c>
      <c r="H68" s="95">
        <v>112.707504</v>
      </c>
      <c r="I68" s="95">
        <v>109.386002</v>
      </c>
      <c r="J68" s="95">
        <v>107.24623099999999</v>
      </c>
      <c r="K68" s="95">
        <v>107.011635</v>
      </c>
      <c r="L68" s="95">
        <v>106.83669999999999</v>
      </c>
      <c r="M68" s="95">
        <v>106.926537</v>
      </c>
      <c r="N68" s="95">
        <v>107.666206</v>
      </c>
      <c r="O68" s="95">
        <v>107.86203</v>
      </c>
      <c r="P68" s="95">
        <v>107.98107899999999</v>
      </c>
      <c r="Q68" s="95">
        <v>108.094154</v>
      </c>
      <c r="R68" s="95">
        <v>108.201736</v>
      </c>
      <c r="S68" s="95">
        <v>108.30444300000001</v>
      </c>
      <c r="T68" s="95">
        <v>108.402771</v>
      </c>
      <c r="U68" s="95">
        <v>108.497276</v>
      </c>
      <c r="V68" s="95">
        <v>108.58914900000001</v>
      </c>
      <c r="W68" s="95">
        <v>108.678696</v>
      </c>
      <c r="X68" s="95">
        <v>108.765869</v>
      </c>
      <c r="Y68" s="95">
        <v>108.850616</v>
      </c>
      <c r="Z68" s="95">
        <v>108.932877</v>
      </c>
      <c r="AA68" s="95">
        <v>109.012535</v>
      </c>
      <c r="AB68" s="95">
        <v>109.08955400000001</v>
      </c>
      <c r="AC68" s="95">
        <v>109.16387899999999</v>
      </c>
      <c r="AD68" s="95">
        <v>109.235382</v>
      </c>
      <c r="AE68" s="95">
        <v>109.304062</v>
      </c>
      <c r="AF68" s="95">
        <v>109.369827</v>
      </c>
      <c r="AG68" s="95">
        <v>109.43259399999999</v>
      </c>
      <c r="AH68" s="95">
        <v>109.49231</v>
      </c>
      <c r="AI68" s="95">
        <v>109.437332</v>
      </c>
      <c r="AJ68" s="95">
        <v>109.391251</v>
      </c>
      <c r="AK68" s="62">
        <v>3.0000000000000001E-6</v>
      </c>
    </row>
    <row r="70" spans="1:37" ht="15" customHeight="1">
      <c r="A70" s="94" t="s">
        <v>415</v>
      </c>
      <c r="B70" s="59" t="s">
        <v>416</v>
      </c>
      <c r="C70" s="65">
        <v>236.25900300000001</v>
      </c>
      <c r="D70" s="65">
        <v>237.060562</v>
      </c>
      <c r="E70" s="65">
        <v>237.76503</v>
      </c>
      <c r="F70" s="65">
        <v>238.43888899999999</v>
      </c>
      <c r="G70" s="65">
        <v>239.09854100000001</v>
      </c>
      <c r="H70" s="65">
        <v>239.711578</v>
      </c>
      <c r="I70" s="65">
        <v>240.24525499999999</v>
      </c>
      <c r="J70" s="65">
        <v>240.77427700000001</v>
      </c>
      <c r="K70" s="65">
        <v>241.35845900000001</v>
      </c>
      <c r="L70" s="65">
        <v>241.871948</v>
      </c>
      <c r="M70" s="65">
        <v>242.303009</v>
      </c>
      <c r="N70" s="65">
        <v>242.66445899999999</v>
      </c>
      <c r="O70" s="65">
        <v>242.87593100000001</v>
      </c>
      <c r="P70" s="65">
        <v>242.82252500000001</v>
      </c>
      <c r="Q70" s="65">
        <v>242.45755</v>
      </c>
      <c r="R70" s="65">
        <v>241.58320599999999</v>
      </c>
      <c r="S70" s="65">
        <v>239.52969400000001</v>
      </c>
      <c r="T70" s="65">
        <v>238.89334099999999</v>
      </c>
      <c r="U70" s="65">
        <v>239.29054300000001</v>
      </c>
      <c r="V70" s="65">
        <v>239.64343299999999</v>
      </c>
      <c r="W70" s="65">
        <v>239.95526100000001</v>
      </c>
      <c r="X70" s="65">
        <v>240.22555500000001</v>
      </c>
      <c r="Y70" s="65">
        <v>240.45410200000001</v>
      </c>
      <c r="Z70" s="65">
        <v>240.64004499999999</v>
      </c>
      <c r="AA70" s="65">
        <v>240.77984599999999</v>
      </c>
      <c r="AB70" s="65">
        <v>240.87922699999999</v>
      </c>
      <c r="AC70" s="65">
        <v>240.942139</v>
      </c>
      <c r="AD70" s="65">
        <v>240.973816</v>
      </c>
      <c r="AE70" s="65">
        <v>240.986816</v>
      </c>
      <c r="AF70" s="65">
        <v>240.99580399999999</v>
      </c>
      <c r="AG70" s="65">
        <v>241.02160599999999</v>
      </c>
      <c r="AH70" s="65">
        <v>241.08538799999999</v>
      </c>
      <c r="AI70" s="65">
        <v>241.20442199999999</v>
      </c>
      <c r="AJ70" s="65">
        <v>241.39595</v>
      </c>
      <c r="AK70" s="66">
        <v>5.6599999999999999E-4</v>
      </c>
    </row>
    <row r="71" spans="1:37" ht="15" customHeight="1">
      <c r="A71" s="94" t="s">
        <v>417</v>
      </c>
      <c r="B71" s="60" t="s">
        <v>418</v>
      </c>
      <c r="C71" s="95">
        <v>99.369827000000001</v>
      </c>
      <c r="D71" s="95">
        <v>99.438713000000007</v>
      </c>
      <c r="E71" s="95">
        <v>99.472228999999999</v>
      </c>
      <c r="F71" s="95">
        <v>99.505584999999996</v>
      </c>
      <c r="G71" s="95">
        <v>99.526343999999995</v>
      </c>
      <c r="H71" s="95">
        <v>99.541695000000004</v>
      </c>
      <c r="I71" s="95">
        <v>99.557747000000006</v>
      </c>
      <c r="J71" s="95">
        <v>99.547966000000002</v>
      </c>
      <c r="K71" s="95">
        <v>99.476646000000002</v>
      </c>
      <c r="L71" s="95">
        <v>99.396361999999996</v>
      </c>
      <c r="M71" s="95">
        <v>99.302657999999994</v>
      </c>
      <c r="N71" s="95">
        <v>99.182693</v>
      </c>
      <c r="O71" s="95">
        <v>99.048500000000004</v>
      </c>
      <c r="P71" s="95">
        <v>98.863533000000004</v>
      </c>
      <c r="Q71" s="95">
        <v>98.658394000000001</v>
      </c>
      <c r="R71" s="95">
        <v>98.430015999999995</v>
      </c>
      <c r="S71" s="95">
        <v>98.194892999999993</v>
      </c>
      <c r="T71" s="95">
        <v>97.939284999999998</v>
      </c>
      <c r="U71" s="95">
        <v>97.662361000000004</v>
      </c>
      <c r="V71" s="95">
        <v>97.363181999999995</v>
      </c>
      <c r="W71" s="95">
        <v>97.038230999999996</v>
      </c>
      <c r="X71" s="95">
        <v>96.680710000000005</v>
      </c>
      <c r="Y71" s="95">
        <v>96.284087999999997</v>
      </c>
      <c r="Z71" s="95">
        <v>95.842406999999994</v>
      </c>
      <c r="AA71" s="95">
        <v>95.347617999999997</v>
      </c>
      <c r="AB71" s="95">
        <v>94.802689000000001</v>
      </c>
      <c r="AC71" s="95">
        <v>94.208138000000005</v>
      </c>
      <c r="AD71" s="95">
        <v>93.565513999999993</v>
      </c>
      <c r="AE71" s="95">
        <v>92.884490999999997</v>
      </c>
      <c r="AF71" s="95">
        <v>92.177802999999997</v>
      </c>
      <c r="AG71" s="95">
        <v>91.466164000000006</v>
      </c>
      <c r="AH71" s="95">
        <v>90.772598000000002</v>
      </c>
      <c r="AI71" s="95">
        <v>90.117621999999997</v>
      </c>
      <c r="AJ71" s="95">
        <v>89.522925999999998</v>
      </c>
      <c r="AK71" s="62">
        <v>-3.277E-3</v>
      </c>
    </row>
    <row r="72" spans="1:37" ht="15" customHeight="1">
      <c r="A72" s="94" t="s">
        <v>419</v>
      </c>
      <c r="B72" s="60" t="s">
        <v>420</v>
      </c>
      <c r="C72" s="95">
        <v>11.445287</v>
      </c>
      <c r="D72" s="95">
        <v>11.466092</v>
      </c>
      <c r="E72" s="95">
        <v>11.482542</v>
      </c>
      <c r="F72" s="95">
        <v>11.498786000000001</v>
      </c>
      <c r="G72" s="95">
        <v>11.513481000000001</v>
      </c>
      <c r="H72" s="95">
        <v>11.527476</v>
      </c>
      <c r="I72" s="95">
        <v>11.541475</v>
      </c>
      <c r="J72" s="95">
        <v>11.552413</v>
      </c>
      <c r="K72" s="95">
        <v>11.556156</v>
      </c>
      <c r="L72" s="95">
        <v>11.558802999999999</v>
      </c>
      <c r="M72" s="95">
        <v>11.55983</v>
      </c>
      <c r="N72" s="95">
        <v>11.557747000000001</v>
      </c>
      <c r="O72" s="95">
        <v>11.553972999999999</v>
      </c>
      <c r="P72" s="95">
        <v>11.544259</v>
      </c>
      <c r="Q72" s="95">
        <v>11.532173999999999</v>
      </c>
      <c r="R72" s="95">
        <v>11.517338000000001</v>
      </c>
      <c r="S72" s="95">
        <v>11.501655</v>
      </c>
      <c r="T72" s="95">
        <v>11.483509</v>
      </c>
      <c r="U72" s="95">
        <v>11.4628</v>
      </c>
      <c r="V72" s="95">
        <v>11.439425999999999</v>
      </c>
      <c r="W72" s="95">
        <v>11.412993999999999</v>
      </c>
      <c r="X72" s="95">
        <v>11.382687000000001</v>
      </c>
      <c r="Y72" s="95">
        <v>11.347727000000001</v>
      </c>
      <c r="Z72" s="95">
        <v>11.307388</v>
      </c>
      <c r="AA72" s="95">
        <v>11.260698</v>
      </c>
      <c r="AB72" s="95">
        <v>11.207986999999999</v>
      </c>
      <c r="AC72" s="95">
        <v>11.149298</v>
      </c>
      <c r="AD72" s="95">
        <v>11.084787</v>
      </c>
      <c r="AE72" s="95">
        <v>11.015580999999999</v>
      </c>
      <c r="AF72" s="95">
        <v>10.943103000000001</v>
      </c>
      <c r="AG72" s="95">
        <v>10.869602</v>
      </c>
      <c r="AH72" s="95">
        <v>10.797935000000001</v>
      </c>
      <c r="AI72" s="95">
        <v>10.730744</v>
      </c>
      <c r="AJ72" s="95">
        <v>10.670596</v>
      </c>
      <c r="AK72" s="62">
        <v>-2.2439999999999999E-3</v>
      </c>
    </row>
    <row r="73" spans="1:37" ht="15" customHeight="1">
      <c r="A73" s="94" t="s">
        <v>421</v>
      </c>
      <c r="B73" s="60" t="s">
        <v>422</v>
      </c>
      <c r="C73" s="95">
        <v>1.4615E-2</v>
      </c>
      <c r="D73" s="95">
        <v>1.4637000000000001E-2</v>
      </c>
      <c r="E73" s="95">
        <v>1.4656000000000001E-2</v>
      </c>
      <c r="F73" s="95">
        <v>1.4678E-2</v>
      </c>
      <c r="G73" s="95">
        <v>1.4699E-2</v>
      </c>
      <c r="H73" s="95">
        <v>1.472E-2</v>
      </c>
      <c r="I73" s="95">
        <v>1.4742E-2</v>
      </c>
      <c r="J73" s="95">
        <v>1.4761E-2</v>
      </c>
      <c r="K73" s="95">
        <v>1.477E-2</v>
      </c>
      <c r="L73" s="95">
        <v>1.4777999999999999E-2</v>
      </c>
      <c r="M73" s="95">
        <v>1.4784E-2</v>
      </c>
      <c r="N73" s="95">
        <v>1.4785E-2</v>
      </c>
      <c r="O73" s="95">
        <v>1.4782999999999999E-2</v>
      </c>
      <c r="P73" s="95">
        <v>1.4774000000000001E-2</v>
      </c>
      <c r="Q73" s="95">
        <v>1.4761E-2</v>
      </c>
      <c r="R73" s="95">
        <v>1.4744E-2</v>
      </c>
      <c r="S73" s="95">
        <v>1.4725E-2</v>
      </c>
      <c r="T73" s="95">
        <v>1.4703000000000001E-2</v>
      </c>
      <c r="U73" s="95">
        <v>1.4677000000000001E-2</v>
      </c>
      <c r="V73" s="95">
        <v>1.4647E-2</v>
      </c>
      <c r="W73" s="95">
        <v>1.4612999999999999E-2</v>
      </c>
      <c r="X73" s="95">
        <v>1.4574E-2</v>
      </c>
      <c r="Y73" s="95">
        <v>1.4527999999999999E-2</v>
      </c>
      <c r="Z73" s="95">
        <v>1.4474000000000001E-2</v>
      </c>
      <c r="AA73" s="95">
        <v>1.4411999999999999E-2</v>
      </c>
      <c r="AB73" s="95">
        <v>1.4341E-2</v>
      </c>
      <c r="AC73" s="95">
        <v>1.4262E-2</v>
      </c>
      <c r="AD73" s="95">
        <v>1.4175E-2</v>
      </c>
      <c r="AE73" s="95">
        <v>1.4081E-2</v>
      </c>
      <c r="AF73" s="95">
        <v>1.3983000000000001E-2</v>
      </c>
      <c r="AG73" s="95">
        <v>1.3886000000000001E-2</v>
      </c>
      <c r="AH73" s="95">
        <v>1.3792E-2</v>
      </c>
      <c r="AI73" s="95">
        <v>1.3705E-2</v>
      </c>
      <c r="AJ73" s="95">
        <v>1.3627999999999999E-2</v>
      </c>
      <c r="AK73" s="62">
        <v>-2.2290000000000001E-3</v>
      </c>
    </row>
    <row r="74" spans="1:37" ht="15" customHeight="1">
      <c r="A74" s="94" t="s">
        <v>423</v>
      </c>
      <c r="B74" s="60" t="s">
        <v>424</v>
      </c>
      <c r="C74" s="95">
        <v>63.032871</v>
      </c>
      <c r="D74" s="95">
        <v>62.981273999999999</v>
      </c>
      <c r="E74" s="95">
        <v>62.897621000000001</v>
      </c>
      <c r="F74" s="95">
        <v>62.801979000000003</v>
      </c>
      <c r="G74" s="95">
        <v>62.683661999999998</v>
      </c>
      <c r="H74" s="95">
        <v>62.542931000000003</v>
      </c>
      <c r="I74" s="95">
        <v>62.378132000000001</v>
      </c>
      <c r="J74" s="95">
        <v>62.165900999999998</v>
      </c>
      <c r="K74" s="95">
        <v>61.875275000000002</v>
      </c>
      <c r="L74" s="95">
        <v>61.527450999999999</v>
      </c>
      <c r="M74" s="95">
        <v>61.103484999999999</v>
      </c>
      <c r="N74" s="95">
        <v>60.572758</v>
      </c>
      <c r="O74" s="95">
        <v>59.908130999999997</v>
      </c>
      <c r="P74" s="95">
        <v>59.032299000000002</v>
      </c>
      <c r="Q74" s="95">
        <v>57.865509000000003</v>
      </c>
      <c r="R74" s="95">
        <v>56.198985999999998</v>
      </c>
      <c r="S74" s="95">
        <v>53.456135000000003</v>
      </c>
      <c r="T74" s="95">
        <v>52.173183000000002</v>
      </c>
      <c r="U74" s="95">
        <v>51.962135000000004</v>
      </c>
      <c r="V74" s="95">
        <v>51.739505999999999</v>
      </c>
      <c r="W74" s="95">
        <v>51.502856999999999</v>
      </c>
      <c r="X74" s="95">
        <v>51.248618999999998</v>
      </c>
      <c r="Y74" s="95">
        <v>50.973309</v>
      </c>
      <c r="Z74" s="95">
        <v>50.673667999999999</v>
      </c>
      <c r="AA74" s="95">
        <v>50.345627</v>
      </c>
      <c r="AB74" s="95">
        <v>49.990929000000001</v>
      </c>
      <c r="AC74" s="95">
        <v>49.610050000000001</v>
      </c>
      <c r="AD74" s="95">
        <v>49.204002000000003</v>
      </c>
      <c r="AE74" s="95">
        <v>48.778145000000002</v>
      </c>
      <c r="AF74" s="95">
        <v>48.340107000000003</v>
      </c>
      <c r="AG74" s="95">
        <v>47.902363000000001</v>
      </c>
      <c r="AH74" s="95">
        <v>47.477080999999998</v>
      </c>
      <c r="AI74" s="95">
        <v>47.073569999999997</v>
      </c>
      <c r="AJ74" s="95">
        <v>46.701732999999997</v>
      </c>
      <c r="AK74" s="62">
        <v>-9.3019999999999995E-3</v>
      </c>
    </row>
    <row r="75" spans="1:37" ht="15" customHeight="1">
      <c r="A75" s="94" t="s">
        <v>425</v>
      </c>
      <c r="B75" s="60" t="s">
        <v>426</v>
      </c>
      <c r="C75" s="95">
        <v>22.909573000000002</v>
      </c>
      <c r="D75" s="95">
        <v>22.948392999999999</v>
      </c>
      <c r="E75" s="95">
        <v>22.977685999999999</v>
      </c>
      <c r="F75" s="95">
        <v>23.005244999999999</v>
      </c>
      <c r="G75" s="95">
        <v>23.027850999999998</v>
      </c>
      <c r="H75" s="95">
        <v>23.047478000000002</v>
      </c>
      <c r="I75" s="95">
        <v>23.065909999999999</v>
      </c>
      <c r="J75" s="95">
        <v>23.077224999999999</v>
      </c>
      <c r="K75" s="95">
        <v>23.073387</v>
      </c>
      <c r="L75" s="95">
        <v>23.066811000000001</v>
      </c>
      <c r="M75" s="95">
        <v>23.056746</v>
      </c>
      <c r="N75" s="95">
        <v>23.040264000000001</v>
      </c>
      <c r="O75" s="95">
        <v>23.020389999999999</v>
      </c>
      <c r="P75" s="95">
        <v>22.988669999999999</v>
      </c>
      <c r="Q75" s="95">
        <v>22.952103000000001</v>
      </c>
      <c r="R75" s="95">
        <v>22.909908000000001</v>
      </c>
      <c r="S75" s="95">
        <v>22.865794999999999</v>
      </c>
      <c r="T75" s="95">
        <v>22.816597000000002</v>
      </c>
      <c r="U75" s="95">
        <v>22.762229999999999</v>
      </c>
      <c r="V75" s="95">
        <v>22.702724</v>
      </c>
      <c r="W75" s="95">
        <v>22.637530999999999</v>
      </c>
      <c r="X75" s="95">
        <v>22.565052000000001</v>
      </c>
      <c r="Y75" s="95">
        <v>22.483809999999998</v>
      </c>
      <c r="Z75" s="95">
        <v>22.392496000000001</v>
      </c>
      <c r="AA75" s="95">
        <v>22.289165000000001</v>
      </c>
      <c r="AB75" s="95">
        <v>22.174461000000001</v>
      </c>
      <c r="AC75" s="95">
        <v>22.048438999999998</v>
      </c>
      <c r="AD75" s="95">
        <v>21.911407000000001</v>
      </c>
      <c r="AE75" s="95">
        <v>21.765518</v>
      </c>
      <c r="AF75" s="95">
        <v>21.613475999999999</v>
      </c>
      <c r="AG75" s="95">
        <v>21.45956</v>
      </c>
      <c r="AH75" s="95">
        <v>21.308823</v>
      </c>
      <c r="AI75" s="95">
        <v>21.166450999999999</v>
      </c>
      <c r="AJ75" s="95">
        <v>21.038235</v>
      </c>
      <c r="AK75" s="62">
        <v>-2.712E-3</v>
      </c>
    </row>
    <row r="76" spans="1:37" ht="15" customHeight="1">
      <c r="A76" s="94" t="s">
        <v>427</v>
      </c>
      <c r="B76" s="60" t="s">
        <v>86</v>
      </c>
      <c r="C76" s="95">
        <v>1.462669</v>
      </c>
      <c r="D76" s="95">
        <v>1.4672320000000001</v>
      </c>
      <c r="E76" s="95">
        <v>1.4711719999999999</v>
      </c>
      <c r="F76" s="95">
        <v>1.474985</v>
      </c>
      <c r="G76" s="95">
        <v>1.478472</v>
      </c>
      <c r="H76" s="95">
        <v>1.481765</v>
      </c>
      <c r="I76" s="95">
        <v>1.484974</v>
      </c>
      <c r="J76" s="95">
        <v>1.4877100000000001</v>
      </c>
      <c r="K76" s="95">
        <v>1.489452</v>
      </c>
      <c r="L76" s="95">
        <v>1.4910000000000001</v>
      </c>
      <c r="M76" s="95">
        <v>1.492302</v>
      </c>
      <c r="N76" s="95">
        <v>1.493169</v>
      </c>
      <c r="O76" s="95">
        <v>1.4937929999999999</v>
      </c>
      <c r="P76" s="95">
        <v>1.4936259999999999</v>
      </c>
      <c r="Q76" s="95">
        <v>1.4931209999999999</v>
      </c>
      <c r="R76" s="95">
        <v>1.4922260000000001</v>
      </c>
      <c r="S76" s="95">
        <v>1.4911779999999999</v>
      </c>
      <c r="T76" s="95">
        <v>1.489771</v>
      </c>
      <c r="U76" s="95">
        <v>1.488</v>
      </c>
      <c r="V76" s="95">
        <v>1.4858659999999999</v>
      </c>
      <c r="W76" s="95">
        <v>1.4833400000000001</v>
      </c>
      <c r="X76" s="95">
        <v>1.4803170000000001</v>
      </c>
      <c r="Y76" s="95">
        <v>1.4766999999999999</v>
      </c>
      <c r="Z76" s="95">
        <v>1.472399</v>
      </c>
      <c r="AA76" s="95">
        <v>1.467285</v>
      </c>
      <c r="AB76" s="95">
        <v>1.4613959999999999</v>
      </c>
      <c r="AC76" s="95">
        <v>1.454731</v>
      </c>
      <c r="AD76" s="95">
        <v>1.4473069999999999</v>
      </c>
      <c r="AE76" s="95">
        <v>1.4392640000000001</v>
      </c>
      <c r="AF76" s="95">
        <v>1.430741</v>
      </c>
      <c r="AG76" s="95">
        <v>1.4219539999999999</v>
      </c>
      <c r="AH76" s="95">
        <v>1.413276</v>
      </c>
      <c r="AI76" s="95">
        <v>1.405116</v>
      </c>
      <c r="AJ76" s="95">
        <v>1.3978870000000001</v>
      </c>
      <c r="AK76" s="62">
        <v>-1.5120000000000001E-3</v>
      </c>
    </row>
    <row r="77" spans="1:37" ht="15" customHeight="1">
      <c r="A77" s="94" t="s">
        <v>428</v>
      </c>
      <c r="B77" s="60" t="s">
        <v>429</v>
      </c>
      <c r="C77" s="95">
        <v>0.49046699999999999</v>
      </c>
      <c r="D77" s="95">
        <v>0.54665799999999998</v>
      </c>
      <c r="E77" s="95">
        <v>0.61404999999999998</v>
      </c>
      <c r="F77" s="95">
        <v>0.69532799999999995</v>
      </c>
      <c r="G77" s="95">
        <v>0.793516</v>
      </c>
      <c r="H77" s="95">
        <v>0.91260799999999997</v>
      </c>
      <c r="I77" s="95">
        <v>1.057723</v>
      </c>
      <c r="J77" s="95">
        <v>1.2351000000000001</v>
      </c>
      <c r="K77" s="95">
        <v>1.4527060000000001</v>
      </c>
      <c r="L77" s="95">
        <v>1.7225729999999999</v>
      </c>
      <c r="M77" s="95">
        <v>2.060505</v>
      </c>
      <c r="N77" s="95">
        <v>2.4889230000000002</v>
      </c>
      <c r="O77" s="95">
        <v>3.0423460000000002</v>
      </c>
      <c r="P77" s="95">
        <v>3.7747869999999999</v>
      </c>
      <c r="Q77" s="95">
        <v>4.7855939999999997</v>
      </c>
      <c r="R77" s="95">
        <v>6.2816559999999999</v>
      </c>
      <c r="S77" s="95">
        <v>8.8502270000000003</v>
      </c>
      <c r="T77" s="95">
        <v>9.9463259999999991</v>
      </c>
      <c r="U77" s="95">
        <v>9.9573160000000005</v>
      </c>
      <c r="V77" s="95">
        <v>9.9657990000000005</v>
      </c>
      <c r="W77" s="95">
        <v>9.9716830000000005</v>
      </c>
      <c r="X77" s="95">
        <v>9.9742409999999992</v>
      </c>
      <c r="Y77" s="95">
        <v>9.9728019999999997</v>
      </c>
      <c r="Z77" s="95">
        <v>9.9667870000000001</v>
      </c>
      <c r="AA77" s="95">
        <v>9.9552619999999994</v>
      </c>
      <c r="AB77" s="95">
        <v>9.9384370000000004</v>
      </c>
      <c r="AC77" s="95">
        <v>9.9162520000000001</v>
      </c>
      <c r="AD77" s="95">
        <v>9.8887789999999995</v>
      </c>
      <c r="AE77" s="95">
        <v>9.8569019999999998</v>
      </c>
      <c r="AF77" s="95">
        <v>9.8214330000000007</v>
      </c>
      <c r="AG77" s="95">
        <v>9.7839189999999991</v>
      </c>
      <c r="AH77" s="95">
        <v>9.7468699999999995</v>
      </c>
      <c r="AI77" s="95">
        <v>9.7132710000000007</v>
      </c>
      <c r="AJ77" s="95">
        <v>9.6861160000000002</v>
      </c>
      <c r="AK77" s="62">
        <v>9.3991000000000005E-2</v>
      </c>
    </row>
    <row r="78" spans="1:37" ht="15" customHeight="1">
      <c r="A78" s="94" t="s">
        <v>430</v>
      </c>
      <c r="B78" s="60" t="s">
        <v>431</v>
      </c>
      <c r="C78" s="95">
        <v>1.4345E-2</v>
      </c>
      <c r="D78" s="95">
        <v>1.4429000000000001E-2</v>
      </c>
      <c r="E78" s="95">
        <v>1.4507000000000001E-2</v>
      </c>
      <c r="F78" s="95">
        <v>1.4583E-2</v>
      </c>
      <c r="G78" s="95">
        <v>1.4655E-2</v>
      </c>
      <c r="H78" s="95">
        <v>1.4723999999999999E-2</v>
      </c>
      <c r="I78" s="95">
        <v>1.4792E-2</v>
      </c>
      <c r="J78" s="95">
        <v>1.4853999999999999E-2</v>
      </c>
      <c r="K78" s="95">
        <v>1.4905E-2</v>
      </c>
      <c r="L78" s="95">
        <v>1.4954E-2</v>
      </c>
      <c r="M78" s="95">
        <v>1.4999999999999999E-2</v>
      </c>
      <c r="N78" s="95">
        <v>1.5041000000000001E-2</v>
      </c>
      <c r="O78" s="95">
        <v>1.508E-2</v>
      </c>
      <c r="P78" s="95">
        <v>1.511E-2</v>
      </c>
      <c r="Q78" s="95">
        <v>1.5136999999999999E-2</v>
      </c>
      <c r="R78" s="95">
        <v>1.516E-2</v>
      </c>
      <c r="S78" s="95">
        <v>1.5180000000000001E-2</v>
      </c>
      <c r="T78" s="95">
        <v>1.5195999999999999E-2</v>
      </c>
      <c r="U78" s="95">
        <v>1.5209E-2</v>
      </c>
      <c r="V78" s="95">
        <v>1.5217E-2</v>
      </c>
      <c r="W78" s="95">
        <v>1.5221E-2</v>
      </c>
      <c r="X78" s="95">
        <v>1.5221E-2</v>
      </c>
      <c r="Y78" s="95">
        <v>1.5214E-2</v>
      </c>
      <c r="Z78" s="95">
        <v>1.52E-2</v>
      </c>
      <c r="AA78" s="95">
        <v>1.5178000000000001E-2</v>
      </c>
      <c r="AB78" s="95">
        <v>1.5148E-2</v>
      </c>
      <c r="AC78" s="95">
        <v>1.5108999999999999E-2</v>
      </c>
      <c r="AD78" s="95">
        <v>1.5063E-2</v>
      </c>
      <c r="AE78" s="95">
        <v>1.5009E-2</v>
      </c>
      <c r="AF78" s="95">
        <v>1.4951000000000001E-2</v>
      </c>
      <c r="AG78" s="95">
        <v>1.4888999999999999E-2</v>
      </c>
      <c r="AH78" s="95">
        <v>1.4827E-2</v>
      </c>
      <c r="AI78" s="95">
        <v>1.4770999999999999E-2</v>
      </c>
      <c r="AJ78" s="95">
        <v>1.4725E-2</v>
      </c>
      <c r="AK78" s="62">
        <v>6.3500000000000004E-4</v>
      </c>
    </row>
    <row r="79" spans="1:37" ht="15" customHeight="1">
      <c r="A79" s="94" t="s">
        <v>432</v>
      </c>
      <c r="B79" s="60" t="s">
        <v>433</v>
      </c>
      <c r="C79" s="95">
        <v>32.039715000000001</v>
      </c>
      <c r="D79" s="95">
        <v>32.314650999999998</v>
      </c>
      <c r="E79" s="95">
        <v>32.579014000000001</v>
      </c>
      <c r="F79" s="95">
        <v>32.846046000000001</v>
      </c>
      <c r="G79" s="95">
        <v>33.110317000000002</v>
      </c>
      <c r="H79" s="95">
        <v>33.374206999999998</v>
      </c>
      <c r="I79" s="95">
        <v>33.639603000000001</v>
      </c>
      <c r="J79" s="95">
        <v>33.897376999999999</v>
      </c>
      <c r="K79" s="95">
        <v>34.139076000000003</v>
      </c>
      <c r="L79" s="95">
        <v>34.378258000000002</v>
      </c>
      <c r="M79" s="95">
        <v>34.613281000000001</v>
      </c>
      <c r="N79" s="95">
        <v>34.839770999999999</v>
      </c>
      <c r="O79" s="95">
        <v>35.061768000000001</v>
      </c>
      <c r="P79" s="95">
        <v>35.280872000000002</v>
      </c>
      <c r="Q79" s="95">
        <v>35.495044999999998</v>
      </c>
      <c r="R79" s="95">
        <v>35.703170999999998</v>
      </c>
      <c r="S79" s="95">
        <v>35.912951999999997</v>
      </c>
      <c r="T79" s="95">
        <v>36.119307999999997</v>
      </c>
      <c r="U79" s="95">
        <v>36.321995000000001</v>
      </c>
      <c r="V79" s="95">
        <v>36.520729000000003</v>
      </c>
      <c r="W79" s="95">
        <v>36.715229000000001</v>
      </c>
      <c r="X79" s="95">
        <v>36.905312000000002</v>
      </c>
      <c r="Y79" s="95">
        <v>37.090851000000001</v>
      </c>
      <c r="Z79" s="95">
        <v>37.271832000000003</v>
      </c>
      <c r="AA79" s="95">
        <v>37.44838</v>
      </c>
      <c r="AB79" s="95">
        <v>37.620724000000003</v>
      </c>
      <c r="AC79" s="95">
        <v>37.789070000000002</v>
      </c>
      <c r="AD79" s="95">
        <v>37.953735000000002</v>
      </c>
      <c r="AE79" s="95">
        <v>38.115043999999997</v>
      </c>
      <c r="AF79" s="95">
        <v>38.273403000000002</v>
      </c>
      <c r="AG79" s="95">
        <v>38.429110999999999</v>
      </c>
      <c r="AH79" s="95">
        <v>38.582664000000001</v>
      </c>
      <c r="AI79" s="95">
        <v>38.734631</v>
      </c>
      <c r="AJ79" s="95">
        <v>38.885581999999999</v>
      </c>
      <c r="AK79" s="62">
        <v>5.8009999999999997E-3</v>
      </c>
    </row>
    <row r="80" spans="1:37" ht="15" customHeight="1">
      <c r="A80" s="94" t="s">
        <v>434</v>
      </c>
      <c r="B80" s="60" t="s">
        <v>420</v>
      </c>
      <c r="C80" s="95">
        <v>0</v>
      </c>
      <c r="D80" s="95">
        <v>0</v>
      </c>
      <c r="E80" s="95">
        <v>0</v>
      </c>
      <c r="F80" s="95">
        <v>0</v>
      </c>
      <c r="G80" s="95">
        <v>0</v>
      </c>
      <c r="H80" s="95">
        <v>0</v>
      </c>
      <c r="I80" s="95">
        <v>0</v>
      </c>
      <c r="J80" s="95">
        <v>0</v>
      </c>
      <c r="K80" s="95">
        <v>0</v>
      </c>
      <c r="L80" s="95">
        <v>0</v>
      </c>
      <c r="M80" s="95">
        <v>0</v>
      </c>
      <c r="N80" s="95">
        <v>0</v>
      </c>
      <c r="O80" s="95">
        <v>0</v>
      </c>
      <c r="P80" s="95">
        <v>0</v>
      </c>
      <c r="Q80" s="95">
        <v>0</v>
      </c>
      <c r="R80" s="95">
        <v>0</v>
      </c>
      <c r="S80" s="95">
        <v>0</v>
      </c>
      <c r="T80" s="95">
        <v>0</v>
      </c>
      <c r="U80" s="95">
        <v>0</v>
      </c>
      <c r="V80" s="95">
        <v>0</v>
      </c>
      <c r="W80" s="95">
        <v>0</v>
      </c>
      <c r="X80" s="95">
        <v>0</v>
      </c>
      <c r="Y80" s="95">
        <v>0</v>
      </c>
      <c r="Z80" s="95">
        <v>0</v>
      </c>
      <c r="AA80" s="95">
        <v>0</v>
      </c>
      <c r="AB80" s="95">
        <v>0</v>
      </c>
      <c r="AC80" s="95">
        <v>0</v>
      </c>
      <c r="AD80" s="95">
        <v>0</v>
      </c>
      <c r="AE80" s="95">
        <v>0</v>
      </c>
      <c r="AF80" s="95">
        <v>0</v>
      </c>
      <c r="AG80" s="95">
        <v>0</v>
      </c>
      <c r="AH80" s="95">
        <v>0</v>
      </c>
      <c r="AI80" s="95">
        <v>0</v>
      </c>
      <c r="AJ80" s="95">
        <v>0</v>
      </c>
      <c r="AK80" s="62" t="s">
        <v>164</v>
      </c>
    </row>
    <row r="81" spans="1:37" ht="15" customHeight="1">
      <c r="A81" s="94" t="s">
        <v>435</v>
      </c>
      <c r="B81" s="60" t="s">
        <v>422</v>
      </c>
      <c r="C81" s="95">
        <v>0</v>
      </c>
      <c r="D81" s="95">
        <v>0</v>
      </c>
      <c r="E81" s="95">
        <v>0</v>
      </c>
      <c r="F81" s="95">
        <v>0</v>
      </c>
      <c r="G81" s="95">
        <v>0</v>
      </c>
      <c r="H81" s="95">
        <v>0</v>
      </c>
      <c r="I81" s="95">
        <v>0</v>
      </c>
      <c r="J81" s="95">
        <v>0</v>
      </c>
      <c r="K81" s="95">
        <v>0</v>
      </c>
      <c r="L81" s="95">
        <v>0</v>
      </c>
      <c r="M81" s="95">
        <v>0</v>
      </c>
      <c r="N81" s="95">
        <v>0</v>
      </c>
      <c r="O81" s="95">
        <v>0</v>
      </c>
      <c r="P81" s="95">
        <v>0</v>
      </c>
      <c r="Q81" s="95">
        <v>0</v>
      </c>
      <c r="R81" s="95">
        <v>0</v>
      </c>
      <c r="S81" s="95">
        <v>0</v>
      </c>
      <c r="T81" s="95">
        <v>0</v>
      </c>
      <c r="U81" s="95">
        <v>0</v>
      </c>
      <c r="V81" s="95">
        <v>0</v>
      </c>
      <c r="W81" s="95">
        <v>0</v>
      </c>
      <c r="X81" s="95">
        <v>0</v>
      </c>
      <c r="Y81" s="95">
        <v>0</v>
      </c>
      <c r="Z81" s="95">
        <v>0</v>
      </c>
      <c r="AA81" s="95">
        <v>0</v>
      </c>
      <c r="AB81" s="95">
        <v>0</v>
      </c>
      <c r="AC81" s="95">
        <v>0</v>
      </c>
      <c r="AD81" s="95">
        <v>0</v>
      </c>
      <c r="AE81" s="95">
        <v>0</v>
      </c>
      <c r="AF81" s="95">
        <v>0</v>
      </c>
      <c r="AG81" s="95">
        <v>0</v>
      </c>
      <c r="AH81" s="95">
        <v>0</v>
      </c>
      <c r="AI81" s="95">
        <v>0</v>
      </c>
      <c r="AJ81" s="95">
        <v>0</v>
      </c>
      <c r="AK81" s="62" t="s">
        <v>164</v>
      </c>
    </row>
    <row r="82" spans="1:37" ht="15" customHeight="1">
      <c r="A82" s="94" t="s">
        <v>436</v>
      </c>
      <c r="B82" s="60" t="s">
        <v>424</v>
      </c>
      <c r="C82" s="95">
        <v>32.039715000000001</v>
      </c>
      <c r="D82" s="95">
        <v>32.314650999999998</v>
      </c>
      <c r="E82" s="95">
        <v>32.579014000000001</v>
      </c>
      <c r="F82" s="95">
        <v>32.846046000000001</v>
      </c>
      <c r="G82" s="95">
        <v>33.110317000000002</v>
      </c>
      <c r="H82" s="95">
        <v>33.374206999999998</v>
      </c>
      <c r="I82" s="95">
        <v>33.639603000000001</v>
      </c>
      <c r="J82" s="95">
        <v>33.897376999999999</v>
      </c>
      <c r="K82" s="95">
        <v>34.139076000000003</v>
      </c>
      <c r="L82" s="95">
        <v>34.378258000000002</v>
      </c>
      <c r="M82" s="95">
        <v>34.613281000000001</v>
      </c>
      <c r="N82" s="95">
        <v>34.839770999999999</v>
      </c>
      <c r="O82" s="95">
        <v>35.061768000000001</v>
      </c>
      <c r="P82" s="95">
        <v>35.280872000000002</v>
      </c>
      <c r="Q82" s="95">
        <v>35.495044999999998</v>
      </c>
      <c r="R82" s="95">
        <v>35.703170999999998</v>
      </c>
      <c r="S82" s="95">
        <v>35.912951999999997</v>
      </c>
      <c r="T82" s="95">
        <v>36.119307999999997</v>
      </c>
      <c r="U82" s="95">
        <v>36.321995000000001</v>
      </c>
      <c r="V82" s="95">
        <v>36.520729000000003</v>
      </c>
      <c r="W82" s="95">
        <v>36.715229000000001</v>
      </c>
      <c r="X82" s="95">
        <v>36.905312000000002</v>
      </c>
      <c r="Y82" s="95">
        <v>37.090851000000001</v>
      </c>
      <c r="Z82" s="95">
        <v>37.271832000000003</v>
      </c>
      <c r="AA82" s="95">
        <v>37.44838</v>
      </c>
      <c r="AB82" s="95">
        <v>37.620724000000003</v>
      </c>
      <c r="AC82" s="95">
        <v>37.789070000000002</v>
      </c>
      <c r="AD82" s="95">
        <v>37.953735000000002</v>
      </c>
      <c r="AE82" s="95">
        <v>38.115043999999997</v>
      </c>
      <c r="AF82" s="95">
        <v>38.273403000000002</v>
      </c>
      <c r="AG82" s="95">
        <v>38.429110999999999</v>
      </c>
      <c r="AH82" s="95">
        <v>38.582664000000001</v>
      </c>
      <c r="AI82" s="95">
        <v>38.734631</v>
      </c>
      <c r="AJ82" s="95">
        <v>38.885581999999999</v>
      </c>
      <c r="AK82" s="62">
        <v>5.8009999999999997E-3</v>
      </c>
    </row>
    <row r="83" spans="1:37" ht="15" customHeight="1">
      <c r="A83" s="94" t="s">
        <v>437</v>
      </c>
      <c r="B83" s="60" t="s">
        <v>426</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5">
        <v>0</v>
      </c>
      <c r="AK83" s="62" t="s">
        <v>164</v>
      </c>
    </row>
    <row r="84" spans="1:37" ht="15" customHeight="1">
      <c r="A84" s="94" t="s">
        <v>438</v>
      </c>
      <c r="B84" s="60" t="s">
        <v>86</v>
      </c>
      <c r="C84" s="95">
        <v>0</v>
      </c>
      <c r="D84" s="95">
        <v>0</v>
      </c>
      <c r="E84" s="95">
        <v>0</v>
      </c>
      <c r="F84" s="95">
        <v>0</v>
      </c>
      <c r="G84" s="95">
        <v>0</v>
      </c>
      <c r="H84" s="95">
        <v>0</v>
      </c>
      <c r="I84" s="95">
        <v>0</v>
      </c>
      <c r="J84" s="95">
        <v>0</v>
      </c>
      <c r="K84" s="95">
        <v>0</v>
      </c>
      <c r="L84" s="95">
        <v>0</v>
      </c>
      <c r="M84" s="95">
        <v>0</v>
      </c>
      <c r="N84" s="95">
        <v>0</v>
      </c>
      <c r="O84" s="95">
        <v>0</v>
      </c>
      <c r="P84" s="95">
        <v>0</v>
      </c>
      <c r="Q84" s="95">
        <v>0</v>
      </c>
      <c r="R84" s="95">
        <v>0</v>
      </c>
      <c r="S84" s="95">
        <v>0</v>
      </c>
      <c r="T84" s="95">
        <v>0</v>
      </c>
      <c r="U84" s="95">
        <v>0</v>
      </c>
      <c r="V84" s="95">
        <v>0</v>
      </c>
      <c r="W84" s="95">
        <v>0</v>
      </c>
      <c r="X84" s="95">
        <v>0</v>
      </c>
      <c r="Y84" s="95">
        <v>0</v>
      </c>
      <c r="Z84" s="95">
        <v>0</v>
      </c>
      <c r="AA84" s="95">
        <v>0</v>
      </c>
      <c r="AB84" s="95">
        <v>0</v>
      </c>
      <c r="AC84" s="95">
        <v>0</v>
      </c>
      <c r="AD84" s="95">
        <v>0</v>
      </c>
      <c r="AE84" s="95">
        <v>0</v>
      </c>
      <c r="AF84" s="95">
        <v>0</v>
      </c>
      <c r="AG84" s="95">
        <v>0</v>
      </c>
      <c r="AH84" s="95">
        <v>0</v>
      </c>
      <c r="AI84" s="95">
        <v>0</v>
      </c>
      <c r="AJ84" s="95">
        <v>0</v>
      </c>
      <c r="AK84" s="62" t="s">
        <v>164</v>
      </c>
    </row>
    <row r="85" spans="1:37" ht="15" customHeight="1">
      <c r="A85" s="94" t="s">
        <v>439</v>
      </c>
      <c r="B85" s="60" t="s">
        <v>429</v>
      </c>
      <c r="C85" s="95">
        <v>0</v>
      </c>
      <c r="D85" s="95">
        <v>0</v>
      </c>
      <c r="E85" s="95">
        <v>0</v>
      </c>
      <c r="F85" s="95">
        <v>0</v>
      </c>
      <c r="G85" s="95">
        <v>0</v>
      </c>
      <c r="H85" s="95">
        <v>0</v>
      </c>
      <c r="I85" s="95">
        <v>0</v>
      </c>
      <c r="J85" s="95">
        <v>0</v>
      </c>
      <c r="K85" s="95">
        <v>0</v>
      </c>
      <c r="L85" s="95">
        <v>0</v>
      </c>
      <c r="M85" s="95">
        <v>0</v>
      </c>
      <c r="N85" s="95">
        <v>0</v>
      </c>
      <c r="O85" s="95">
        <v>0</v>
      </c>
      <c r="P85" s="95">
        <v>0</v>
      </c>
      <c r="Q85" s="95">
        <v>0</v>
      </c>
      <c r="R85" s="95">
        <v>0</v>
      </c>
      <c r="S85" s="95">
        <v>0</v>
      </c>
      <c r="T85" s="95">
        <v>0</v>
      </c>
      <c r="U85" s="95">
        <v>0</v>
      </c>
      <c r="V85" s="95">
        <v>0</v>
      </c>
      <c r="W85" s="95">
        <v>0</v>
      </c>
      <c r="X85" s="95">
        <v>0</v>
      </c>
      <c r="Y85" s="95">
        <v>0</v>
      </c>
      <c r="Z85" s="95">
        <v>0</v>
      </c>
      <c r="AA85" s="95">
        <v>0</v>
      </c>
      <c r="AB85" s="95">
        <v>0</v>
      </c>
      <c r="AC85" s="95">
        <v>0</v>
      </c>
      <c r="AD85" s="95">
        <v>0</v>
      </c>
      <c r="AE85" s="95">
        <v>0</v>
      </c>
      <c r="AF85" s="95">
        <v>0</v>
      </c>
      <c r="AG85" s="95">
        <v>0</v>
      </c>
      <c r="AH85" s="95">
        <v>0</v>
      </c>
      <c r="AI85" s="95">
        <v>0</v>
      </c>
      <c r="AJ85" s="95">
        <v>0</v>
      </c>
      <c r="AK85" s="62" t="s">
        <v>164</v>
      </c>
    </row>
    <row r="86" spans="1:37" ht="15" customHeight="1">
      <c r="A86" s="94" t="s">
        <v>440</v>
      </c>
      <c r="B86" s="60" t="s">
        <v>431</v>
      </c>
      <c r="C86" s="95">
        <v>0</v>
      </c>
      <c r="D86" s="95">
        <v>0</v>
      </c>
      <c r="E86" s="95">
        <v>0</v>
      </c>
      <c r="F86" s="95">
        <v>0</v>
      </c>
      <c r="G86" s="95">
        <v>0</v>
      </c>
      <c r="H86" s="95">
        <v>0</v>
      </c>
      <c r="I86" s="95">
        <v>0</v>
      </c>
      <c r="J86" s="95">
        <v>0</v>
      </c>
      <c r="K86" s="95">
        <v>0</v>
      </c>
      <c r="L86" s="95">
        <v>0</v>
      </c>
      <c r="M86" s="95">
        <v>0</v>
      </c>
      <c r="N86" s="95">
        <v>0</v>
      </c>
      <c r="O86" s="95">
        <v>0</v>
      </c>
      <c r="P86" s="95">
        <v>0</v>
      </c>
      <c r="Q86" s="95">
        <v>0</v>
      </c>
      <c r="R86" s="95">
        <v>0</v>
      </c>
      <c r="S86" s="95">
        <v>0</v>
      </c>
      <c r="T86" s="95">
        <v>0</v>
      </c>
      <c r="U86" s="95">
        <v>0</v>
      </c>
      <c r="V86" s="95">
        <v>0</v>
      </c>
      <c r="W86" s="95">
        <v>0</v>
      </c>
      <c r="X86" s="95">
        <v>0</v>
      </c>
      <c r="Y86" s="95">
        <v>0</v>
      </c>
      <c r="Z86" s="95">
        <v>0</v>
      </c>
      <c r="AA86" s="95">
        <v>0</v>
      </c>
      <c r="AB86" s="95">
        <v>0</v>
      </c>
      <c r="AC86" s="95">
        <v>0</v>
      </c>
      <c r="AD86" s="95">
        <v>0</v>
      </c>
      <c r="AE86" s="95">
        <v>0</v>
      </c>
      <c r="AF86" s="95">
        <v>0</v>
      </c>
      <c r="AG86" s="95">
        <v>0</v>
      </c>
      <c r="AH86" s="95">
        <v>0</v>
      </c>
      <c r="AI86" s="95">
        <v>0</v>
      </c>
      <c r="AJ86" s="95">
        <v>0</v>
      </c>
      <c r="AK86" s="62" t="s">
        <v>164</v>
      </c>
    </row>
    <row r="87" spans="1:37" ht="15" customHeight="1">
      <c r="A87" s="94" t="s">
        <v>441</v>
      </c>
      <c r="B87" s="60" t="s">
        <v>442</v>
      </c>
      <c r="C87" s="95">
        <v>105.36889600000001</v>
      </c>
      <c r="D87" s="95">
        <v>105.882927</v>
      </c>
      <c r="E87" s="95">
        <v>106.356987</v>
      </c>
      <c r="F87" s="95">
        <v>106.811852</v>
      </c>
      <c r="G87" s="95">
        <v>107.284744</v>
      </c>
      <c r="H87" s="95">
        <v>107.73774</v>
      </c>
      <c r="I87" s="95">
        <v>108.135147</v>
      </c>
      <c r="J87" s="95">
        <v>108.59365099999999</v>
      </c>
      <c r="K87" s="95">
        <v>109.225121</v>
      </c>
      <c r="L87" s="95">
        <v>109.849632</v>
      </c>
      <c r="M87" s="95">
        <v>110.47736399999999</v>
      </c>
      <c r="N87" s="95">
        <v>111.160736</v>
      </c>
      <c r="O87" s="95">
        <v>111.83788300000001</v>
      </c>
      <c r="P87" s="95">
        <v>112.48278000000001</v>
      </c>
      <c r="Q87" s="95">
        <v>113.11958300000001</v>
      </c>
      <c r="R87" s="95">
        <v>113.761589</v>
      </c>
      <c r="S87" s="95">
        <v>114.301987</v>
      </c>
      <c r="T87" s="95">
        <v>114.810982</v>
      </c>
      <c r="U87" s="95">
        <v>115.29338799999999</v>
      </c>
      <c r="V87" s="95">
        <v>115.75518</v>
      </c>
      <c r="W87" s="95">
        <v>116.203316</v>
      </c>
      <c r="X87" s="95">
        <v>116.64357</v>
      </c>
      <c r="Y87" s="95">
        <v>117.081703</v>
      </c>
      <c r="Z87" s="95">
        <v>117.522255</v>
      </c>
      <c r="AA87" s="95">
        <v>117.968689</v>
      </c>
      <c r="AB87" s="95">
        <v>118.42372899999999</v>
      </c>
      <c r="AC87" s="95">
        <v>118.890556</v>
      </c>
      <c r="AD87" s="95">
        <v>119.372574</v>
      </c>
      <c r="AE87" s="95">
        <v>119.87326</v>
      </c>
      <c r="AF87" s="95">
        <v>120.394981</v>
      </c>
      <c r="AG87" s="95">
        <v>120.93901099999999</v>
      </c>
      <c r="AH87" s="95">
        <v>121.5056</v>
      </c>
      <c r="AI87" s="95">
        <v>122.093918</v>
      </c>
      <c r="AJ87" s="95">
        <v>122.70192</v>
      </c>
      <c r="AK87" s="62">
        <v>4.6179999999999997E-3</v>
      </c>
    </row>
    <row r="88" spans="1:37" ht="15" customHeight="1">
      <c r="A88" s="94" t="s">
        <v>443</v>
      </c>
      <c r="B88" s="60" t="s">
        <v>420</v>
      </c>
      <c r="C88" s="95">
        <v>11.694694</v>
      </c>
      <c r="D88" s="95">
        <v>11.751745</v>
      </c>
      <c r="E88" s="95">
        <v>11.804358000000001</v>
      </c>
      <c r="F88" s="95">
        <v>11.854843000000001</v>
      </c>
      <c r="G88" s="95">
        <v>11.90733</v>
      </c>
      <c r="H88" s="95">
        <v>11.957606</v>
      </c>
      <c r="I88" s="95">
        <v>12.001713000000001</v>
      </c>
      <c r="J88" s="95">
        <v>12.052602</v>
      </c>
      <c r="K88" s="95">
        <v>12.122687000000001</v>
      </c>
      <c r="L88" s="95">
        <v>12.192</v>
      </c>
      <c r="M88" s="95">
        <v>12.261673</v>
      </c>
      <c r="N88" s="95">
        <v>12.337517</v>
      </c>
      <c r="O88" s="95">
        <v>12.412673</v>
      </c>
      <c r="P88" s="95">
        <v>12.484251</v>
      </c>
      <c r="Q88" s="95">
        <v>12.554926999999999</v>
      </c>
      <c r="R88" s="95">
        <v>12.626182</v>
      </c>
      <c r="S88" s="95">
        <v>12.686161</v>
      </c>
      <c r="T88" s="95">
        <v>12.742651</v>
      </c>
      <c r="U88" s="95">
        <v>12.796194</v>
      </c>
      <c r="V88" s="95">
        <v>12.847446</v>
      </c>
      <c r="W88" s="95">
        <v>12.897185</v>
      </c>
      <c r="X88" s="95">
        <v>12.946047</v>
      </c>
      <c r="Y88" s="95">
        <v>12.994674</v>
      </c>
      <c r="Z88" s="95">
        <v>13.043573</v>
      </c>
      <c r="AA88" s="95">
        <v>13.093121</v>
      </c>
      <c r="AB88" s="95">
        <v>13.143623</v>
      </c>
      <c r="AC88" s="95">
        <v>13.195437</v>
      </c>
      <c r="AD88" s="95">
        <v>13.248934999999999</v>
      </c>
      <c r="AE88" s="95">
        <v>13.304506</v>
      </c>
      <c r="AF88" s="95">
        <v>13.362410000000001</v>
      </c>
      <c r="AG88" s="95">
        <v>13.422791</v>
      </c>
      <c r="AH88" s="95">
        <v>13.485676</v>
      </c>
      <c r="AI88" s="95">
        <v>13.550972</v>
      </c>
      <c r="AJ88" s="95">
        <v>13.618452</v>
      </c>
      <c r="AK88" s="62">
        <v>4.6179999999999997E-3</v>
      </c>
    </row>
    <row r="89" spans="1:37" ht="15" customHeight="1">
      <c r="A89" s="94" t="s">
        <v>444</v>
      </c>
      <c r="B89" s="60" t="s">
        <v>422</v>
      </c>
      <c r="C89" s="95">
        <v>0</v>
      </c>
      <c r="D89" s="95">
        <v>0</v>
      </c>
      <c r="E89" s="95">
        <v>0</v>
      </c>
      <c r="F89" s="95">
        <v>0</v>
      </c>
      <c r="G89" s="95">
        <v>0</v>
      </c>
      <c r="H89" s="95">
        <v>0</v>
      </c>
      <c r="I89" s="95">
        <v>0</v>
      </c>
      <c r="J89" s="95">
        <v>0</v>
      </c>
      <c r="K89" s="95">
        <v>0</v>
      </c>
      <c r="L89" s="95">
        <v>0</v>
      </c>
      <c r="M89" s="95">
        <v>0</v>
      </c>
      <c r="N89" s="95">
        <v>0</v>
      </c>
      <c r="O89" s="95">
        <v>0</v>
      </c>
      <c r="P89" s="95">
        <v>0</v>
      </c>
      <c r="Q89" s="95">
        <v>0</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c r="AI89" s="95">
        <v>0</v>
      </c>
      <c r="AJ89" s="95">
        <v>0</v>
      </c>
      <c r="AK89" s="62" t="s">
        <v>164</v>
      </c>
    </row>
    <row r="90" spans="1:37" ht="15" customHeight="1">
      <c r="A90" s="94" t="s">
        <v>445</v>
      </c>
      <c r="B90" s="60" t="s">
        <v>424</v>
      </c>
      <c r="C90" s="95">
        <v>92.708397000000005</v>
      </c>
      <c r="D90" s="95">
        <v>93.138869999999997</v>
      </c>
      <c r="E90" s="95">
        <v>93.535438999999997</v>
      </c>
      <c r="F90" s="95">
        <v>93.910033999999996</v>
      </c>
      <c r="G90" s="95">
        <v>94.299271000000005</v>
      </c>
      <c r="H90" s="95">
        <v>94.670967000000005</v>
      </c>
      <c r="I90" s="95">
        <v>94.992751999999996</v>
      </c>
      <c r="J90" s="95">
        <v>95.366325000000003</v>
      </c>
      <c r="K90" s="95">
        <v>95.890761999999995</v>
      </c>
      <c r="L90" s="95">
        <v>96.408051</v>
      </c>
      <c r="M90" s="95">
        <v>96.925147999999993</v>
      </c>
      <c r="N90" s="95">
        <v>97.489684999999994</v>
      </c>
      <c r="O90" s="95">
        <v>98.050026000000003</v>
      </c>
      <c r="P90" s="95">
        <v>98.580726999999996</v>
      </c>
      <c r="Q90" s="95">
        <v>99.103240999999997</v>
      </c>
      <c r="R90" s="95">
        <v>99.628829999999994</v>
      </c>
      <c r="S90" s="95">
        <v>100.06416299999999</v>
      </c>
      <c r="T90" s="95">
        <v>100.471107</v>
      </c>
      <c r="U90" s="95">
        <v>100.85348500000001</v>
      </c>
      <c r="V90" s="95">
        <v>101.216263</v>
      </c>
      <c r="W90" s="95">
        <v>101.566948</v>
      </c>
      <c r="X90" s="95">
        <v>101.909584</v>
      </c>
      <c r="Y90" s="95">
        <v>102.24928300000001</v>
      </c>
      <c r="Z90" s="95">
        <v>102.590256</v>
      </c>
      <c r="AA90" s="95">
        <v>102.93573000000001</v>
      </c>
      <c r="AB90" s="95">
        <v>103.28775</v>
      </c>
      <c r="AC90" s="95">
        <v>103.64975</v>
      </c>
      <c r="AD90" s="95">
        <v>104.02514600000001</v>
      </c>
      <c r="AE90" s="95">
        <v>104.416489</v>
      </c>
      <c r="AF90" s="95">
        <v>104.826347</v>
      </c>
      <c r="AG90" s="95">
        <v>105.255989</v>
      </c>
      <c r="AH90" s="95">
        <v>105.704948</v>
      </c>
      <c r="AI90" s="95">
        <v>106.173073</v>
      </c>
      <c r="AJ90" s="95">
        <v>106.658134</v>
      </c>
      <c r="AK90" s="62">
        <v>4.2449999999999996E-3</v>
      </c>
    </row>
    <row r="91" spans="1:37" ht="15" customHeight="1">
      <c r="A91" s="94" t="s">
        <v>446</v>
      </c>
      <c r="B91" s="60" t="s">
        <v>426</v>
      </c>
      <c r="C91" s="95">
        <v>0.875552</v>
      </c>
      <c r="D91" s="95">
        <v>0.90161800000000003</v>
      </c>
      <c r="E91" s="95">
        <v>0.92608699999999999</v>
      </c>
      <c r="F91" s="95">
        <v>0.95548200000000005</v>
      </c>
      <c r="G91" s="95">
        <v>0.98624800000000001</v>
      </c>
      <c r="H91" s="95">
        <v>1.0168809999999999</v>
      </c>
      <c r="I91" s="95">
        <v>1.048062</v>
      </c>
      <c r="J91" s="95">
        <v>1.081704</v>
      </c>
      <c r="K91" s="95">
        <v>1.1181099999999999</v>
      </c>
      <c r="L91" s="95">
        <v>1.1554880000000001</v>
      </c>
      <c r="M91" s="95">
        <v>1.1959169999999999</v>
      </c>
      <c r="N91" s="95">
        <v>1.238321</v>
      </c>
      <c r="O91" s="95">
        <v>1.279385</v>
      </c>
      <c r="P91" s="95">
        <v>1.3214600000000001</v>
      </c>
      <c r="Q91" s="95">
        <v>1.364525</v>
      </c>
      <c r="R91" s="95">
        <v>1.4091359999999999</v>
      </c>
      <c r="S91" s="95">
        <v>1.4537599999999999</v>
      </c>
      <c r="T91" s="95">
        <v>1.498877</v>
      </c>
      <c r="U91" s="95">
        <v>1.5449550000000001</v>
      </c>
      <c r="V91" s="95">
        <v>1.59232</v>
      </c>
      <c r="W91" s="95">
        <v>1.639645</v>
      </c>
      <c r="X91" s="95">
        <v>1.6880310000000001</v>
      </c>
      <c r="Y91" s="95">
        <v>1.7374540000000001</v>
      </c>
      <c r="Z91" s="95">
        <v>1.787768</v>
      </c>
      <c r="AA91" s="95">
        <v>1.838789</v>
      </c>
      <c r="AB91" s="95">
        <v>1.8909260000000001</v>
      </c>
      <c r="AC91" s="95">
        <v>1.943532</v>
      </c>
      <c r="AD91" s="95">
        <v>1.9962500000000001</v>
      </c>
      <c r="AE91" s="95">
        <v>2.0495920000000001</v>
      </c>
      <c r="AF91" s="95">
        <v>2.1030989999999998</v>
      </c>
      <c r="AG91" s="95">
        <v>2.1566429999999999</v>
      </c>
      <c r="AH91" s="95">
        <v>2.2109000000000001</v>
      </c>
      <c r="AI91" s="95">
        <v>2.265298</v>
      </c>
      <c r="AJ91" s="95">
        <v>2.320227</v>
      </c>
      <c r="AK91" s="62">
        <v>2.9978999999999999E-2</v>
      </c>
    </row>
    <row r="92" spans="1:37" ht="15" customHeight="1">
      <c r="A92" s="94" t="s">
        <v>447</v>
      </c>
      <c r="B92" s="60" t="s">
        <v>86</v>
      </c>
      <c r="C92" s="95">
        <v>9.0253E-2</v>
      </c>
      <c r="D92" s="95">
        <v>9.0692999999999996E-2</v>
      </c>
      <c r="E92" s="95">
        <v>9.1098999999999999E-2</v>
      </c>
      <c r="F92" s="95">
        <v>9.1489000000000001E-2</v>
      </c>
      <c r="G92" s="95">
        <v>9.1894000000000003E-2</v>
      </c>
      <c r="H92" s="95">
        <v>9.2282000000000003E-2</v>
      </c>
      <c r="I92" s="95">
        <v>9.2621999999999996E-2</v>
      </c>
      <c r="J92" s="95">
        <v>9.3015E-2</v>
      </c>
      <c r="K92" s="95">
        <v>9.3556E-2</v>
      </c>
      <c r="L92" s="95">
        <v>9.4090999999999994E-2</v>
      </c>
      <c r="M92" s="95">
        <v>9.4629000000000005E-2</v>
      </c>
      <c r="N92" s="95">
        <v>9.5213999999999993E-2</v>
      </c>
      <c r="O92" s="95">
        <v>9.5794000000000004E-2</v>
      </c>
      <c r="P92" s="95">
        <v>9.6346000000000001E-2</v>
      </c>
      <c r="Q92" s="95">
        <v>9.6892000000000006E-2</v>
      </c>
      <c r="R92" s="95">
        <v>9.7442000000000001E-2</v>
      </c>
      <c r="S92" s="95">
        <v>9.7905000000000006E-2</v>
      </c>
      <c r="T92" s="95">
        <v>9.8340999999999998E-2</v>
      </c>
      <c r="U92" s="95">
        <v>9.8753999999999995E-2</v>
      </c>
      <c r="V92" s="95">
        <v>9.9149000000000001E-2</v>
      </c>
      <c r="W92" s="95">
        <v>9.9532999999999996E-2</v>
      </c>
      <c r="X92" s="95">
        <v>9.9909999999999999E-2</v>
      </c>
      <c r="Y92" s="95">
        <v>0.100286</v>
      </c>
      <c r="Z92" s="95">
        <v>0.100663</v>
      </c>
      <c r="AA92" s="95">
        <v>0.101045</v>
      </c>
      <c r="AB92" s="95">
        <v>0.101435</v>
      </c>
      <c r="AC92" s="95">
        <v>0.10183499999999999</v>
      </c>
      <c r="AD92" s="95">
        <v>0.10224800000000001</v>
      </c>
      <c r="AE92" s="95">
        <v>0.102677</v>
      </c>
      <c r="AF92" s="95">
        <v>0.10312399999999999</v>
      </c>
      <c r="AG92" s="95">
        <v>0.10359</v>
      </c>
      <c r="AH92" s="95">
        <v>0.104075</v>
      </c>
      <c r="AI92" s="95">
        <v>0.10457900000000001</v>
      </c>
      <c r="AJ92" s="95">
        <v>0.105099</v>
      </c>
      <c r="AK92" s="62">
        <v>4.6179999999999997E-3</v>
      </c>
    </row>
    <row r="93" spans="1:37" ht="15" customHeight="1">
      <c r="A93" s="94" t="s">
        <v>448</v>
      </c>
      <c r="B93" s="60" t="s">
        <v>429</v>
      </c>
      <c r="C93" s="95">
        <v>0</v>
      </c>
      <c r="D93" s="95">
        <v>0</v>
      </c>
      <c r="E93" s="95">
        <v>0</v>
      </c>
      <c r="F93" s="95">
        <v>0</v>
      </c>
      <c r="G93" s="95">
        <v>0</v>
      </c>
      <c r="H93" s="95">
        <v>0</v>
      </c>
      <c r="I93" s="95">
        <v>0</v>
      </c>
      <c r="J93" s="95">
        <v>0</v>
      </c>
      <c r="K93" s="95">
        <v>0</v>
      </c>
      <c r="L93" s="95">
        <v>0</v>
      </c>
      <c r="M93" s="95">
        <v>0</v>
      </c>
      <c r="N93" s="95">
        <v>0</v>
      </c>
      <c r="O93" s="95">
        <v>0</v>
      </c>
      <c r="P93" s="95">
        <v>0</v>
      </c>
      <c r="Q93" s="95">
        <v>0</v>
      </c>
      <c r="R93" s="95">
        <v>0</v>
      </c>
      <c r="S93" s="95">
        <v>0</v>
      </c>
      <c r="T93" s="95">
        <v>0</v>
      </c>
      <c r="U93" s="95">
        <v>0</v>
      </c>
      <c r="V93" s="95">
        <v>0</v>
      </c>
      <c r="W93" s="95">
        <v>0</v>
      </c>
      <c r="X93" s="95">
        <v>0</v>
      </c>
      <c r="Y93" s="95">
        <v>0</v>
      </c>
      <c r="Z93" s="95">
        <v>0</v>
      </c>
      <c r="AA93" s="95">
        <v>0</v>
      </c>
      <c r="AB93" s="95">
        <v>0</v>
      </c>
      <c r="AC93" s="95">
        <v>0</v>
      </c>
      <c r="AD93" s="95">
        <v>0</v>
      </c>
      <c r="AE93" s="95">
        <v>0</v>
      </c>
      <c r="AF93" s="95">
        <v>0</v>
      </c>
      <c r="AG93" s="95">
        <v>0</v>
      </c>
      <c r="AH93" s="95">
        <v>0</v>
      </c>
      <c r="AI93" s="95">
        <v>0</v>
      </c>
      <c r="AJ93" s="95">
        <v>0</v>
      </c>
      <c r="AK93" s="62" t="s">
        <v>164</v>
      </c>
    </row>
    <row r="94" spans="1:37" ht="15" customHeight="1">
      <c r="A94" s="94" t="s">
        <v>449</v>
      </c>
      <c r="B94" s="60" t="s">
        <v>431</v>
      </c>
      <c r="C94" s="95">
        <v>0</v>
      </c>
      <c r="D94" s="95">
        <v>0</v>
      </c>
      <c r="E94" s="95">
        <v>0</v>
      </c>
      <c r="F94" s="95">
        <v>0</v>
      </c>
      <c r="G94" s="95">
        <v>0</v>
      </c>
      <c r="H94" s="95">
        <v>0</v>
      </c>
      <c r="I94" s="95">
        <v>0</v>
      </c>
      <c r="J94" s="95">
        <v>0</v>
      </c>
      <c r="K94" s="95">
        <v>0</v>
      </c>
      <c r="L94" s="95">
        <v>0</v>
      </c>
      <c r="M94" s="95">
        <v>0</v>
      </c>
      <c r="N94" s="95">
        <v>0</v>
      </c>
      <c r="O94" s="95">
        <v>0</v>
      </c>
      <c r="P94" s="95">
        <v>0</v>
      </c>
      <c r="Q94" s="95">
        <v>0</v>
      </c>
      <c r="R94" s="95">
        <v>0</v>
      </c>
      <c r="S94" s="95">
        <v>0</v>
      </c>
      <c r="T94" s="95">
        <v>0</v>
      </c>
      <c r="U94" s="95">
        <v>0</v>
      </c>
      <c r="V94" s="95">
        <v>0</v>
      </c>
      <c r="W94" s="95">
        <v>0</v>
      </c>
      <c r="X94" s="95">
        <v>0</v>
      </c>
      <c r="Y94" s="95">
        <v>0</v>
      </c>
      <c r="Z94" s="95">
        <v>0</v>
      </c>
      <c r="AA94" s="95">
        <v>0</v>
      </c>
      <c r="AB94" s="95">
        <v>0</v>
      </c>
      <c r="AC94" s="95">
        <v>0</v>
      </c>
      <c r="AD94" s="95">
        <v>0</v>
      </c>
      <c r="AE94" s="95">
        <v>0</v>
      </c>
      <c r="AF94" s="95">
        <v>0</v>
      </c>
      <c r="AG94" s="95">
        <v>0</v>
      </c>
      <c r="AH94" s="95">
        <v>0</v>
      </c>
      <c r="AI94" s="95">
        <v>0</v>
      </c>
      <c r="AJ94" s="95">
        <v>0</v>
      </c>
      <c r="AK94" s="62" t="s">
        <v>164</v>
      </c>
    </row>
    <row r="95" spans="1:37" ht="15" customHeight="1">
      <c r="A95" s="94" t="s">
        <v>450</v>
      </c>
      <c r="B95" s="59" t="s">
        <v>451</v>
      </c>
      <c r="C95" s="65">
        <v>46.543182000000002</v>
      </c>
      <c r="D95" s="65">
        <v>46.795616000000003</v>
      </c>
      <c r="E95" s="65">
        <v>47.529716000000001</v>
      </c>
      <c r="F95" s="65">
        <v>48.111797000000003</v>
      </c>
      <c r="G95" s="65">
        <v>48.721862999999999</v>
      </c>
      <c r="H95" s="65">
        <v>49.294060000000002</v>
      </c>
      <c r="I95" s="65">
        <v>49.853828</v>
      </c>
      <c r="J95" s="65">
        <v>50.421309999999998</v>
      </c>
      <c r="K95" s="65">
        <v>51.025573999999999</v>
      </c>
      <c r="L95" s="65">
        <v>51.643791</v>
      </c>
      <c r="M95" s="65">
        <v>52.195735999999997</v>
      </c>
      <c r="N95" s="65">
        <v>52.874577000000002</v>
      </c>
      <c r="O95" s="65">
        <v>53.353012</v>
      </c>
      <c r="P95" s="65">
        <v>53.960861000000001</v>
      </c>
      <c r="Q95" s="65">
        <v>54.52364</v>
      </c>
      <c r="R95" s="65">
        <v>55.095329</v>
      </c>
      <c r="S95" s="65">
        <v>55.691116000000001</v>
      </c>
      <c r="T95" s="65">
        <v>56.268394000000001</v>
      </c>
      <c r="U95" s="65">
        <v>56.838782999999999</v>
      </c>
      <c r="V95" s="65">
        <v>57.379852</v>
      </c>
      <c r="W95" s="65">
        <v>57.961891000000001</v>
      </c>
      <c r="X95" s="65">
        <v>58.514735999999999</v>
      </c>
      <c r="Y95" s="65">
        <v>59.055999999999997</v>
      </c>
      <c r="Z95" s="65">
        <v>59.589581000000003</v>
      </c>
      <c r="AA95" s="65">
        <v>60.132506999999997</v>
      </c>
      <c r="AB95" s="65">
        <v>60.652596000000003</v>
      </c>
      <c r="AC95" s="65">
        <v>61.198776000000002</v>
      </c>
      <c r="AD95" s="65">
        <v>61.744979999999998</v>
      </c>
      <c r="AE95" s="65">
        <v>62.277622000000001</v>
      </c>
      <c r="AF95" s="65">
        <v>62.803744999999999</v>
      </c>
      <c r="AG95" s="65">
        <v>63.347011999999999</v>
      </c>
      <c r="AH95" s="65">
        <v>63.862675000000003</v>
      </c>
      <c r="AI95" s="65">
        <v>64.386002000000005</v>
      </c>
      <c r="AJ95" s="65">
        <v>64.878013999999993</v>
      </c>
      <c r="AK95" s="66">
        <v>1.0262E-2</v>
      </c>
    </row>
    <row r="96" spans="1:37" ht="15" customHeight="1">
      <c r="A96" s="94" t="s">
        <v>452</v>
      </c>
      <c r="B96" s="60" t="s">
        <v>453</v>
      </c>
      <c r="C96" s="95">
        <v>10.186204</v>
      </c>
      <c r="D96" s="95">
        <v>10.297212999999999</v>
      </c>
      <c r="E96" s="95">
        <v>10.405301</v>
      </c>
      <c r="F96" s="95">
        <v>10.514687</v>
      </c>
      <c r="G96" s="95">
        <v>10.623635</v>
      </c>
      <c r="H96" s="95">
        <v>10.732908999999999</v>
      </c>
      <c r="I96" s="95">
        <v>10.843113000000001</v>
      </c>
      <c r="J96" s="95">
        <v>10.951307</v>
      </c>
      <c r="K96" s="95">
        <v>11.054736999999999</v>
      </c>
      <c r="L96" s="95">
        <v>11.157768000000001</v>
      </c>
      <c r="M96" s="95">
        <v>11.25986</v>
      </c>
      <c r="N96" s="95">
        <v>11.359583000000001</v>
      </c>
      <c r="O96" s="95">
        <v>11.458235999999999</v>
      </c>
      <c r="P96" s="95">
        <v>11.556338</v>
      </c>
      <c r="Q96" s="95">
        <v>11.653212</v>
      </c>
      <c r="R96" s="95">
        <v>11.748480000000001</v>
      </c>
      <c r="S96" s="95">
        <v>11.844671999999999</v>
      </c>
      <c r="T96" s="95">
        <v>11.940115</v>
      </c>
      <c r="U96" s="95">
        <v>12.034717000000001</v>
      </c>
      <c r="V96" s="95">
        <v>12.128380999999999</v>
      </c>
      <c r="W96" s="95">
        <v>12.221003</v>
      </c>
      <c r="X96" s="95">
        <v>12.312512999999999</v>
      </c>
      <c r="Y96" s="95">
        <v>12.40286</v>
      </c>
      <c r="Z96" s="95">
        <v>12.492032999999999</v>
      </c>
      <c r="AA96" s="95">
        <v>12.580064</v>
      </c>
      <c r="AB96" s="95">
        <v>12.667017</v>
      </c>
      <c r="AC96" s="95">
        <v>12.752957</v>
      </c>
      <c r="AD96" s="95">
        <v>12.837978</v>
      </c>
      <c r="AE96" s="95">
        <v>12.922190000000001</v>
      </c>
      <c r="AF96" s="95">
        <v>13.005718999999999</v>
      </c>
      <c r="AG96" s="95">
        <v>13.088661</v>
      </c>
      <c r="AH96" s="95">
        <v>13.171181000000001</v>
      </c>
      <c r="AI96" s="95">
        <v>13.25347</v>
      </c>
      <c r="AJ96" s="95">
        <v>13.335722000000001</v>
      </c>
      <c r="AK96" s="62">
        <v>8.1130000000000004E-3</v>
      </c>
    </row>
    <row r="97" spans="1:37" ht="15" customHeight="1">
      <c r="A97" s="94" t="s">
        <v>454</v>
      </c>
      <c r="B97" s="60" t="s">
        <v>429</v>
      </c>
      <c r="C97" s="95">
        <v>1.679244</v>
      </c>
      <c r="D97" s="95">
        <v>1.6975439999999999</v>
      </c>
      <c r="E97" s="95">
        <v>1.7153640000000001</v>
      </c>
      <c r="F97" s="95">
        <v>1.7333970000000001</v>
      </c>
      <c r="G97" s="95">
        <v>1.7513570000000001</v>
      </c>
      <c r="H97" s="95">
        <v>1.769371</v>
      </c>
      <c r="I97" s="95">
        <v>1.787539</v>
      </c>
      <c r="J97" s="95">
        <v>1.805375</v>
      </c>
      <c r="K97" s="95">
        <v>1.8224260000000001</v>
      </c>
      <c r="L97" s="95">
        <v>1.839412</v>
      </c>
      <c r="M97" s="95">
        <v>1.856241</v>
      </c>
      <c r="N97" s="95">
        <v>1.872682</v>
      </c>
      <c r="O97" s="95">
        <v>1.8889450000000001</v>
      </c>
      <c r="P97" s="95">
        <v>1.9051169999999999</v>
      </c>
      <c r="Q97" s="95">
        <v>1.921087</v>
      </c>
      <c r="R97" s="95">
        <v>1.936793</v>
      </c>
      <c r="S97" s="95">
        <v>1.9526509999999999</v>
      </c>
      <c r="T97" s="95">
        <v>1.9683850000000001</v>
      </c>
      <c r="U97" s="95">
        <v>1.9839800000000001</v>
      </c>
      <c r="V97" s="95">
        <v>1.9994209999999999</v>
      </c>
      <c r="W97" s="95">
        <v>2.0146899999999999</v>
      </c>
      <c r="X97" s="95">
        <v>2.0297770000000002</v>
      </c>
      <c r="Y97" s="95">
        <v>2.04467</v>
      </c>
      <c r="Z97" s="95">
        <v>2.0593710000000001</v>
      </c>
      <c r="AA97" s="95">
        <v>2.0738829999999999</v>
      </c>
      <c r="AB97" s="95">
        <v>2.0882179999999999</v>
      </c>
      <c r="AC97" s="95">
        <v>2.1023860000000001</v>
      </c>
      <c r="AD97" s="95">
        <v>2.1164019999999999</v>
      </c>
      <c r="AE97" s="95">
        <v>2.1302840000000001</v>
      </c>
      <c r="AF97" s="95">
        <v>2.1440540000000001</v>
      </c>
      <c r="AG97" s="95">
        <v>2.1577280000000001</v>
      </c>
      <c r="AH97" s="95">
        <v>2.171332</v>
      </c>
      <c r="AI97" s="95">
        <v>2.1848969999999999</v>
      </c>
      <c r="AJ97" s="95">
        <v>2.198458</v>
      </c>
      <c r="AK97" s="62">
        <v>8.1130000000000004E-3</v>
      </c>
    </row>
    <row r="98" spans="1:37" ht="15" customHeight="1">
      <c r="A98" s="94" t="s">
        <v>455</v>
      </c>
      <c r="B98" s="60" t="s">
        <v>456</v>
      </c>
      <c r="C98" s="95">
        <v>8.5069599999999994</v>
      </c>
      <c r="D98" s="95">
        <v>8.5996690000000005</v>
      </c>
      <c r="E98" s="95">
        <v>8.6899379999999997</v>
      </c>
      <c r="F98" s="95">
        <v>8.7812900000000003</v>
      </c>
      <c r="G98" s="95">
        <v>8.8722779999999997</v>
      </c>
      <c r="H98" s="95">
        <v>8.9635379999999998</v>
      </c>
      <c r="I98" s="95">
        <v>9.055574</v>
      </c>
      <c r="J98" s="95">
        <v>9.1459320000000002</v>
      </c>
      <c r="K98" s="95">
        <v>9.2323109999999993</v>
      </c>
      <c r="L98" s="95">
        <v>9.3183570000000007</v>
      </c>
      <c r="M98" s="95">
        <v>9.4036190000000008</v>
      </c>
      <c r="N98" s="95">
        <v>9.4869009999999996</v>
      </c>
      <c r="O98" s="95">
        <v>9.5692909999999998</v>
      </c>
      <c r="P98" s="95">
        <v>9.6512209999999996</v>
      </c>
      <c r="Q98" s="95">
        <v>9.7321240000000007</v>
      </c>
      <c r="R98" s="95">
        <v>9.8116869999999992</v>
      </c>
      <c r="S98" s="95">
        <v>9.8920209999999997</v>
      </c>
      <c r="T98" s="95">
        <v>9.9717300000000009</v>
      </c>
      <c r="U98" s="95">
        <v>10.050736000000001</v>
      </c>
      <c r="V98" s="95">
        <v>10.128959999999999</v>
      </c>
      <c r="W98" s="95">
        <v>10.206312</v>
      </c>
      <c r="X98" s="95">
        <v>10.282736999999999</v>
      </c>
      <c r="Y98" s="95">
        <v>10.35819</v>
      </c>
      <c r="Z98" s="95">
        <v>10.432662000000001</v>
      </c>
      <c r="AA98" s="95">
        <v>10.506181</v>
      </c>
      <c r="AB98" s="95">
        <v>10.578799</v>
      </c>
      <c r="AC98" s="95">
        <v>10.650572</v>
      </c>
      <c r="AD98" s="95">
        <v>10.721577</v>
      </c>
      <c r="AE98" s="95">
        <v>10.791905</v>
      </c>
      <c r="AF98" s="95">
        <v>10.861665</v>
      </c>
      <c r="AG98" s="95">
        <v>10.930933</v>
      </c>
      <c r="AH98" s="95">
        <v>10.999848</v>
      </c>
      <c r="AI98" s="95">
        <v>11.068573000000001</v>
      </c>
      <c r="AJ98" s="95">
        <v>11.137264</v>
      </c>
      <c r="AK98" s="62">
        <v>8.1130000000000004E-3</v>
      </c>
    </row>
    <row r="99" spans="1:37" ht="15" customHeight="1">
      <c r="A99" s="94" t="s">
        <v>457</v>
      </c>
      <c r="B99" s="60" t="s">
        <v>458</v>
      </c>
      <c r="C99" s="95">
        <v>0</v>
      </c>
      <c r="D99" s="95">
        <v>0</v>
      </c>
      <c r="E99" s="95">
        <v>0</v>
      </c>
      <c r="F99" s="95">
        <v>0</v>
      </c>
      <c r="G99" s="95">
        <v>0</v>
      </c>
      <c r="H99" s="95">
        <v>0</v>
      </c>
      <c r="I99" s="95">
        <v>0</v>
      </c>
      <c r="J99" s="95">
        <v>0</v>
      </c>
      <c r="K99" s="95">
        <v>0</v>
      </c>
      <c r="L99" s="95">
        <v>0</v>
      </c>
      <c r="M99" s="95">
        <v>0</v>
      </c>
      <c r="N99" s="95">
        <v>0</v>
      </c>
      <c r="O99" s="95">
        <v>0</v>
      </c>
      <c r="P99" s="95">
        <v>0</v>
      </c>
      <c r="Q99" s="95">
        <v>0</v>
      </c>
      <c r="R99" s="95">
        <v>0</v>
      </c>
      <c r="S99" s="95">
        <v>0</v>
      </c>
      <c r="T99" s="95">
        <v>0</v>
      </c>
      <c r="U99" s="95">
        <v>0</v>
      </c>
      <c r="V99" s="95">
        <v>0</v>
      </c>
      <c r="W99" s="95">
        <v>0</v>
      </c>
      <c r="X99" s="95">
        <v>0</v>
      </c>
      <c r="Y99" s="95">
        <v>0</v>
      </c>
      <c r="Z99" s="95">
        <v>0</v>
      </c>
      <c r="AA99" s="95">
        <v>0</v>
      </c>
      <c r="AB99" s="95">
        <v>0</v>
      </c>
      <c r="AC99" s="95">
        <v>0</v>
      </c>
      <c r="AD99" s="95">
        <v>0</v>
      </c>
      <c r="AE99" s="95">
        <v>0</v>
      </c>
      <c r="AF99" s="95">
        <v>0</v>
      </c>
      <c r="AG99" s="95">
        <v>0</v>
      </c>
      <c r="AH99" s="95">
        <v>0</v>
      </c>
      <c r="AI99" s="95">
        <v>0</v>
      </c>
      <c r="AJ99" s="95">
        <v>0</v>
      </c>
      <c r="AK99" s="62" t="s">
        <v>164</v>
      </c>
    </row>
    <row r="100" spans="1:37" ht="15" customHeight="1">
      <c r="A100" s="94" t="s">
        <v>459</v>
      </c>
      <c r="B100" s="60" t="s">
        <v>460</v>
      </c>
      <c r="C100" s="95">
        <v>0</v>
      </c>
      <c r="D100" s="95">
        <v>0</v>
      </c>
      <c r="E100" s="95">
        <v>0</v>
      </c>
      <c r="F100" s="95">
        <v>0</v>
      </c>
      <c r="G100" s="95">
        <v>0</v>
      </c>
      <c r="H100" s="95">
        <v>0</v>
      </c>
      <c r="I100" s="95">
        <v>0</v>
      </c>
      <c r="J100" s="95">
        <v>0</v>
      </c>
      <c r="K100" s="95">
        <v>0</v>
      </c>
      <c r="L100" s="95">
        <v>0</v>
      </c>
      <c r="M100" s="95">
        <v>0</v>
      </c>
      <c r="N100" s="95">
        <v>0</v>
      </c>
      <c r="O100" s="95">
        <v>0</v>
      </c>
      <c r="P100" s="95">
        <v>0</v>
      </c>
      <c r="Q100" s="95">
        <v>0</v>
      </c>
      <c r="R100" s="95">
        <v>0</v>
      </c>
      <c r="S100" s="95">
        <v>0</v>
      </c>
      <c r="T100" s="95">
        <v>0</v>
      </c>
      <c r="U100" s="95">
        <v>0</v>
      </c>
      <c r="V100" s="95">
        <v>0</v>
      </c>
      <c r="W100" s="95">
        <v>0</v>
      </c>
      <c r="X100" s="95">
        <v>0</v>
      </c>
      <c r="Y100" s="95">
        <v>0</v>
      </c>
      <c r="Z100" s="95">
        <v>0</v>
      </c>
      <c r="AA100" s="95">
        <v>0</v>
      </c>
      <c r="AB100" s="95">
        <v>0</v>
      </c>
      <c r="AC100" s="95">
        <v>0</v>
      </c>
      <c r="AD100" s="95">
        <v>0</v>
      </c>
      <c r="AE100" s="95">
        <v>0</v>
      </c>
      <c r="AF100" s="95">
        <v>0</v>
      </c>
      <c r="AG100" s="95">
        <v>0</v>
      </c>
      <c r="AH100" s="95">
        <v>0</v>
      </c>
      <c r="AI100" s="95">
        <v>0</v>
      </c>
      <c r="AJ100" s="95">
        <v>0</v>
      </c>
      <c r="AK100" s="62" t="s">
        <v>164</v>
      </c>
    </row>
    <row r="101" spans="1:37" ht="15" customHeight="1">
      <c r="A101" s="94" t="s">
        <v>461</v>
      </c>
      <c r="B101" s="60" t="s">
        <v>462</v>
      </c>
      <c r="C101" s="95">
        <v>15.999097000000001</v>
      </c>
      <c r="D101" s="95">
        <v>16.130721999999999</v>
      </c>
      <c r="E101" s="95">
        <v>16.316534000000001</v>
      </c>
      <c r="F101" s="95">
        <v>16.481345999999998</v>
      </c>
      <c r="G101" s="95">
        <v>16.641085</v>
      </c>
      <c r="H101" s="95">
        <v>16.795180999999999</v>
      </c>
      <c r="I101" s="95">
        <v>16.949228000000002</v>
      </c>
      <c r="J101" s="95">
        <v>17.103591999999999</v>
      </c>
      <c r="K101" s="95">
        <v>17.257421000000001</v>
      </c>
      <c r="L101" s="95">
        <v>17.411604000000001</v>
      </c>
      <c r="M101" s="95">
        <v>17.557075999999999</v>
      </c>
      <c r="N101" s="95">
        <v>17.719833000000001</v>
      </c>
      <c r="O101" s="95">
        <v>17.849571000000001</v>
      </c>
      <c r="P101" s="95">
        <v>17.987839000000001</v>
      </c>
      <c r="Q101" s="95">
        <v>18.116645999999999</v>
      </c>
      <c r="R101" s="95">
        <v>18.243845</v>
      </c>
      <c r="S101" s="95">
        <v>18.372828999999999</v>
      </c>
      <c r="T101" s="95">
        <v>18.497709</v>
      </c>
      <c r="U101" s="95">
        <v>18.617874</v>
      </c>
      <c r="V101" s="95">
        <v>18.729818000000002</v>
      </c>
      <c r="W101" s="95">
        <v>18.843767</v>
      </c>
      <c r="X101" s="95">
        <v>18.949031999999999</v>
      </c>
      <c r="Y101" s="95">
        <v>19.047654999999999</v>
      </c>
      <c r="Z101" s="95">
        <v>19.140422999999998</v>
      </c>
      <c r="AA101" s="95">
        <v>19.225750000000001</v>
      </c>
      <c r="AB101" s="95">
        <v>19.303459</v>
      </c>
      <c r="AC101" s="95">
        <v>19.379301000000002</v>
      </c>
      <c r="AD101" s="95">
        <v>19.451170000000001</v>
      </c>
      <c r="AE101" s="95">
        <v>19.519166999999999</v>
      </c>
      <c r="AF101" s="95">
        <v>19.590423999999999</v>
      </c>
      <c r="AG101" s="95">
        <v>19.670580000000001</v>
      </c>
      <c r="AH101" s="95">
        <v>19.757104999999999</v>
      </c>
      <c r="AI101" s="95">
        <v>19.856714</v>
      </c>
      <c r="AJ101" s="95">
        <v>19.965975</v>
      </c>
      <c r="AK101" s="62">
        <v>6.6880000000000004E-3</v>
      </c>
    </row>
    <row r="102" spans="1:37" ht="15" customHeight="1">
      <c r="A102" s="94" t="s">
        <v>463</v>
      </c>
      <c r="B102" s="60" t="s">
        <v>429</v>
      </c>
      <c r="C102" s="95">
        <v>15.999097000000001</v>
      </c>
      <c r="D102" s="95">
        <v>16.130721999999999</v>
      </c>
      <c r="E102" s="95">
        <v>16.316534000000001</v>
      </c>
      <c r="F102" s="95">
        <v>16.481345999999998</v>
      </c>
      <c r="G102" s="95">
        <v>16.641085</v>
      </c>
      <c r="H102" s="95">
        <v>16.795180999999999</v>
      </c>
      <c r="I102" s="95">
        <v>16.949228000000002</v>
      </c>
      <c r="J102" s="95">
        <v>17.103591999999999</v>
      </c>
      <c r="K102" s="95">
        <v>17.257421000000001</v>
      </c>
      <c r="L102" s="95">
        <v>17.411604000000001</v>
      </c>
      <c r="M102" s="95">
        <v>17.557075999999999</v>
      </c>
      <c r="N102" s="95">
        <v>17.719833000000001</v>
      </c>
      <c r="O102" s="95">
        <v>17.849571000000001</v>
      </c>
      <c r="P102" s="95">
        <v>17.987839000000001</v>
      </c>
      <c r="Q102" s="95">
        <v>18.116645999999999</v>
      </c>
      <c r="R102" s="95">
        <v>18.243845</v>
      </c>
      <c r="S102" s="95">
        <v>18.372828999999999</v>
      </c>
      <c r="T102" s="95">
        <v>18.497709</v>
      </c>
      <c r="U102" s="95">
        <v>18.617874</v>
      </c>
      <c r="V102" s="95">
        <v>18.729818000000002</v>
      </c>
      <c r="W102" s="95">
        <v>18.843767</v>
      </c>
      <c r="X102" s="95">
        <v>18.949031999999999</v>
      </c>
      <c r="Y102" s="95">
        <v>19.047654999999999</v>
      </c>
      <c r="Z102" s="95">
        <v>19.140422999999998</v>
      </c>
      <c r="AA102" s="95">
        <v>19.225750000000001</v>
      </c>
      <c r="AB102" s="95">
        <v>19.303459</v>
      </c>
      <c r="AC102" s="95">
        <v>19.379301000000002</v>
      </c>
      <c r="AD102" s="95">
        <v>19.451170000000001</v>
      </c>
      <c r="AE102" s="95">
        <v>19.519166999999999</v>
      </c>
      <c r="AF102" s="95">
        <v>19.590423999999999</v>
      </c>
      <c r="AG102" s="95">
        <v>19.670580000000001</v>
      </c>
      <c r="AH102" s="95">
        <v>19.757104999999999</v>
      </c>
      <c r="AI102" s="95">
        <v>19.856714</v>
      </c>
      <c r="AJ102" s="95">
        <v>19.965975</v>
      </c>
      <c r="AK102" s="62">
        <v>6.6880000000000004E-3</v>
      </c>
    </row>
    <row r="103" spans="1:37" ht="15" customHeight="1">
      <c r="A103" s="94" t="s">
        <v>464</v>
      </c>
      <c r="B103" s="60" t="s">
        <v>465</v>
      </c>
      <c r="C103" s="95">
        <v>20.357882</v>
      </c>
      <c r="D103" s="95">
        <v>20.36768</v>
      </c>
      <c r="E103" s="95">
        <v>20.807881999999999</v>
      </c>
      <c r="F103" s="95">
        <v>21.115765</v>
      </c>
      <c r="G103" s="95">
        <v>21.457144</v>
      </c>
      <c r="H103" s="95">
        <v>21.765969999999999</v>
      </c>
      <c r="I103" s="95">
        <v>22.061487</v>
      </c>
      <c r="J103" s="95">
        <v>22.366409000000001</v>
      </c>
      <c r="K103" s="95">
        <v>22.713412999999999</v>
      </c>
      <c r="L103" s="95">
        <v>23.074417</v>
      </c>
      <c r="M103" s="95">
        <v>23.378798</v>
      </c>
      <c r="N103" s="95">
        <v>23.795158000000001</v>
      </c>
      <c r="O103" s="95">
        <v>24.045202</v>
      </c>
      <c r="P103" s="95">
        <v>24.416687</v>
      </c>
      <c r="Q103" s="95">
        <v>24.753779999999999</v>
      </c>
      <c r="R103" s="95">
        <v>25.103003999999999</v>
      </c>
      <c r="S103" s="95">
        <v>25.473616</v>
      </c>
      <c r="T103" s="95">
        <v>25.830566000000001</v>
      </c>
      <c r="U103" s="95">
        <v>26.186191999999998</v>
      </c>
      <c r="V103" s="95">
        <v>26.521656</v>
      </c>
      <c r="W103" s="95">
        <v>26.897117999999999</v>
      </c>
      <c r="X103" s="95">
        <v>27.253191000000001</v>
      </c>
      <c r="Y103" s="95">
        <v>27.605484000000001</v>
      </c>
      <c r="Z103" s="95">
        <v>27.957125000000001</v>
      </c>
      <c r="AA103" s="95">
        <v>28.326695999999998</v>
      </c>
      <c r="AB103" s="95">
        <v>28.682119</v>
      </c>
      <c r="AC103" s="95">
        <v>29.066517000000001</v>
      </c>
      <c r="AD103" s="95">
        <v>29.455832000000001</v>
      </c>
      <c r="AE103" s="95">
        <v>29.836265999999998</v>
      </c>
      <c r="AF103" s="95">
        <v>30.207602999999999</v>
      </c>
      <c r="AG103" s="95">
        <v>30.587774</v>
      </c>
      <c r="AH103" s="95">
        <v>30.934388999999999</v>
      </c>
      <c r="AI103" s="95">
        <v>31.275814</v>
      </c>
      <c r="AJ103" s="95">
        <v>31.576312999999999</v>
      </c>
      <c r="AK103" s="62">
        <v>1.3795999999999999E-2</v>
      </c>
    </row>
    <row r="104" spans="1:37" ht="15" customHeight="1">
      <c r="A104" s="94" t="s">
        <v>466</v>
      </c>
      <c r="B104" s="60" t="s">
        <v>429</v>
      </c>
      <c r="C104" s="95">
        <v>6.1437689999999998</v>
      </c>
      <c r="D104" s="95">
        <v>6.1830299999999996</v>
      </c>
      <c r="E104" s="95">
        <v>6.2875100000000002</v>
      </c>
      <c r="F104" s="95">
        <v>6.3673109999999999</v>
      </c>
      <c r="G104" s="95">
        <v>6.4455299999999998</v>
      </c>
      <c r="H104" s="95">
        <v>6.5159200000000004</v>
      </c>
      <c r="I104" s="95">
        <v>6.58683</v>
      </c>
      <c r="J104" s="95">
        <v>6.6612499999999999</v>
      </c>
      <c r="K104" s="95">
        <v>6.7441789999999999</v>
      </c>
      <c r="L104" s="95">
        <v>6.8294620000000004</v>
      </c>
      <c r="M104" s="95">
        <v>6.9060769999999998</v>
      </c>
      <c r="N104" s="95">
        <v>7.0030939999999999</v>
      </c>
      <c r="O104" s="95">
        <v>7.0842109999999998</v>
      </c>
      <c r="P104" s="95">
        <v>7.1679539999999999</v>
      </c>
      <c r="Q104" s="95">
        <v>7.2483979999999999</v>
      </c>
      <c r="R104" s="95">
        <v>7.3287519999999997</v>
      </c>
      <c r="S104" s="95">
        <v>7.411416</v>
      </c>
      <c r="T104" s="95">
        <v>7.4921049999999996</v>
      </c>
      <c r="U104" s="95">
        <v>7.5701780000000003</v>
      </c>
      <c r="V104" s="95">
        <v>7.6451849999999997</v>
      </c>
      <c r="W104" s="95">
        <v>7.7242959999999998</v>
      </c>
      <c r="X104" s="95">
        <v>7.8019730000000003</v>
      </c>
      <c r="Y104" s="95">
        <v>7.8781879999999997</v>
      </c>
      <c r="Z104" s="95">
        <v>7.9546950000000001</v>
      </c>
      <c r="AA104" s="95">
        <v>8.0337180000000004</v>
      </c>
      <c r="AB104" s="95">
        <v>8.1115209999999998</v>
      </c>
      <c r="AC104" s="95">
        <v>8.1914429999999996</v>
      </c>
      <c r="AD104" s="95">
        <v>8.2707499999999996</v>
      </c>
      <c r="AE104" s="95">
        <v>8.3484610000000004</v>
      </c>
      <c r="AF104" s="95">
        <v>8.424042</v>
      </c>
      <c r="AG104" s="95">
        <v>8.5011919999999996</v>
      </c>
      <c r="AH104" s="95">
        <v>8.5732330000000001</v>
      </c>
      <c r="AI104" s="95">
        <v>8.6404800000000002</v>
      </c>
      <c r="AJ104" s="95">
        <v>8.6977449999999994</v>
      </c>
      <c r="AK104" s="62">
        <v>1.0721E-2</v>
      </c>
    </row>
    <row r="105" spans="1:37" ht="15" customHeight="1">
      <c r="A105" s="94" t="s">
        <v>467</v>
      </c>
      <c r="B105" s="60" t="s">
        <v>456</v>
      </c>
      <c r="C105" s="95">
        <v>14.214112</v>
      </c>
      <c r="D105" s="95">
        <v>14.184649</v>
      </c>
      <c r="E105" s="95">
        <v>14.520372</v>
      </c>
      <c r="F105" s="95">
        <v>14.748454000000001</v>
      </c>
      <c r="G105" s="95">
        <v>15.011614</v>
      </c>
      <c r="H105" s="95">
        <v>15.250050999999999</v>
      </c>
      <c r="I105" s="95">
        <v>15.474657000000001</v>
      </c>
      <c r="J105" s="95">
        <v>15.705159999999999</v>
      </c>
      <c r="K105" s="95">
        <v>15.969234</v>
      </c>
      <c r="L105" s="95">
        <v>16.244955000000001</v>
      </c>
      <c r="M105" s="95">
        <v>16.472721</v>
      </c>
      <c r="N105" s="95">
        <v>16.792065000000001</v>
      </c>
      <c r="O105" s="95">
        <v>16.960991</v>
      </c>
      <c r="P105" s="95">
        <v>17.248732</v>
      </c>
      <c r="Q105" s="95">
        <v>17.505382999999998</v>
      </c>
      <c r="R105" s="95">
        <v>17.774252000000001</v>
      </c>
      <c r="S105" s="95">
        <v>18.062201000000002</v>
      </c>
      <c r="T105" s="95">
        <v>18.338460999999999</v>
      </c>
      <c r="U105" s="95">
        <v>18.616014</v>
      </c>
      <c r="V105" s="95">
        <v>18.876470999999999</v>
      </c>
      <c r="W105" s="95">
        <v>19.172823000000001</v>
      </c>
      <c r="X105" s="95">
        <v>19.451218000000001</v>
      </c>
      <c r="Y105" s="95">
        <v>19.727297</v>
      </c>
      <c r="Z105" s="95">
        <v>20.00243</v>
      </c>
      <c r="AA105" s="95">
        <v>20.292978000000002</v>
      </c>
      <c r="AB105" s="95">
        <v>20.570599000000001</v>
      </c>
      <c r="AC105" s="95">
        <v>20.875071999999999</v>
      </c>
      <c r="AD105" s="95">
        <v>21.185081</v>
      </c>
      <c r="AE105" s="95">
        <v>21.487804000000001</v>
      </c>
      <c r="AF105" s="95">
        <v>21.783562</v>
      </c>
      <c r="AG105" s="95">
        <v>22.086582</v>
      </c>
      <c r="AH105" s="95">
        <v>22.361156000000001</v>
      </c>
      <c r="AI105" s="95">
        <v>22.635334</v>
      </c>
      <c r="AJ105" s="95">
        <v>22.878568999999999</v>
      </c>
      <c r="AK105" s="62">
        <v>1.5051E-2</v>
      </c>
    </row>
    <row r="106" spans="1:37" ht="15" customHeight="1">
      <c r="A106" s="94" t="s">
        <v>468</v>
      </c>
      <c r="B106" s="60" t="s">
        <v>458</v>
      </c>
      <c r="C106" s="95">
        <v>0</v>
      </c>
      <c r="D106" s="95">
        <v>0</v>
      </c>
      <c r="E106" s="95">
        <v>0</v>
      </c>
      <c r="F106" s="95">
        <v>0</v>
      </c>
      <c r="G106" s="95">
        <v>0</v>
      </c>
      <c r="H106" s="95">
        <v>0</v>
      </c>
      <c r="I106" s="95">
        <v>0</v>
      </c>
      <c r="J106" s="95">
        <v>0</v>
      </c>
      <c r="K106" s="95">
        <v>0</v>
      </c>
      <c r="L106" s="95">
        <v>0</v>
      </c>
      <c r="M106" s="95">
        <v>0</v>
      </c>
      <c r="N106" s="95">
        <v>0</v>
      </c>
      <c r="O106" s="95">
        <v>0</v>
      </c>
      <c r="P106" s="95">
        <v>0</v>
      </c>
      <c r="Q106" s="95">
        <v>0</v>
      </c>
      <c r="R106" s="95">
        <v>0</v>
      </c>
      <c r="S106" s="95">
        <v>0</v>
      </c>
      <c r="T106" s="95">
        <v>0</v>
      </c>
      <c r="U106" s="95">
        <v>0</v>
      </c>
      <c r="V106" s="95">
        <v>0</v>
      </c>
      <c r="W106" s="95">
        <v>0</v>
      </c>
      <c r="X106" s="95">
        <v>0</v>
      </c>
      <c r="Y106" s="95">
        <v>0</v>
      </c>
      <c r="Z106" s="95">
        <v>0</v>
      </c>
      <c r="AA106" s="95">
        <v>0</v>
      </c>
      <c r="AB106" s="95">
        <v>0</v>
      </c>
      <c r="AC106" s="95">
        <v>0</v>
      </c>
      <c r="AD106" s="95">
        <v>0</v>
      </c>
      <c r="AE106" s="95">
        <v>0</v>
      </c>
      <c r="AF106" s="95">
        <v>0</v>
      </c>
      <c r="AG106" s="95">
        <v>0</v>
      </c>
      <c r="AH106" s="95">
        <v>0</v>
      </c>
      <c r="AI106" s="95">
        <v>0</v>
      </c>
      <c r="AJ106" s="95">
        <v>0</v>
      </c>
      <c r="AK106" s="62" t="s">
        <v>164</v>
      </c>
    </row>
    <row r="107" spans="1:37" ht="15" customHeight="1">
      <c r="A107" s="94" t="s">
        <v>469</v>
      </c>
      <c r="B107" s="60" t="s">
        <v>460</v>
      </c>
      <c r="C107" s="95">
        <v>0</v>
      </c>
      <c r="D107" s="95">
        <v>0</v>
      </c>
      <c r="E107" s="95">
        <v>0</v>
      </c>
      <c r="F107" s="95">
        <v>0</v>
      </c>
      <c r="G107" s="95">
        <v>0</v>
      </c>
      <c r="H107" s="95">
        <v>0</v>
      </c>
      <c r="I107" s="95">
        <v>0</v>
      </c>
      <c r="J107" s="95">
        <v>0</v>
      </c>
      <c r="K107" s="95">
        <v>0</v>
      </c>
      <c r="L107" s="95">
        <v>0</v>
      </c>
      <c r="M107" s="95">
        <v>0</v>
      </c>
      <c r="N107" s="95">
        <v>0</v>
      </c>
      <c r="O107" s="95">
        <v>0</v>
      </c>
      <c r="P107" s="95">
        <v>0</v>
      </c>
      <c r="Q107" s="95">
        <v>0</v>
      </c>
      <c r="R107" s="95">
        <v>0</v>
      </c>
      <c r="S107" s="95">
        <v>0</v>
      </c>
      <c r="T107" s="95">
        <v>0</v>
      </c>
      <c r="U107" s="95">
        <v>0</v>
      </c>
      <c r="V107" s="95">
        <v>0</v>
      </c>
      <c r="W107" s="95">
        <v>0</v>
      </c>
      <c r="X107" s="95">
        <v>0</v>
      </c>
      <c r="Y107" s="95">
        <v>0</v>
      </c>
      <c r="Z107" s="95">
        <v>0</v>
      </c>
      <c r="AA107" s="95">
        <v>0</v>
      </c>
      <c r="AB107" s="95">
        <v>0</v>
      </c>
      <c r="AC107" s="95">
        <v>0</v>
      </c>
      <c r="AD107" s="95">
        <v>0</v>
      </c>
      <c r="AE107" s="95">
        <v>0</v>
      </c>
      <c r="AF107" s="95">
        <v>0</v>
      </c>
      <c r="AG107" s="95">
        <v>0</v>
      </c>
      <c r="AH107" s="95">
        <v>0</v>
      </c>
      <c r="AI107" s="95">
        <v>0</v>
      </c>
      <c r="AJ107" s="95">
        <v>0</v>
      </c>
      <c r="AK107" s="62" t="s">
        <v>164</v>
      </c>
    </row>
    <row r="109" spans="1:37" ht="15" customHeight="1">
      <c r="A109" s="94" t="s">
        <v>470</v>
      </c>
      <c r="B109" s="59" t="s">
        <v>471</v>
      </c>
      <c r="C109" s="65">
        <v>242.86506700000001</v>
      </c>
      <c r="D109" s="65">
        <v>242.79818700000001</v>
      </c>
      <c r="E109" s="65">
        <v>243.499268</v>
      </c>
      <c r="F109" s="65">
        <v>243.797821</v>
      </c>
      <c r="G109" s="65">
        <v>244.15794399999999</v>
      </c>
      <c r="H109" s="65">
        <v>244.39501999999999</v>
      </c>
      <c r="I109" s="65">
        <v>244.57638499999999</v>
      </c>
      <c r="J109" s="65">
        <v>244.720505</v>
      </c>
      <c r="K109" s="65">
        <v>244.89648399999999</v>
      </c>
      <c r="L109" s="65">
        <v>245.08663899999999</v>
      </c>
      <c r="M109" s="65">
        <v>245.121307</v>
      </c>
      <c r="N109" s="65">
        <v>245.346497</v>
      </c>
      <c r="O109" s="65">
        <v>245.31044</v>
      </c>
      <c r="P109" s="65">
        <v>245.287949</v>
      </c>
      <c r="Q109" s="65">
        <v>245.21646100000001</v>
      </c>
      <c r="R109" s="65">
        <v>245.07678200000001</v>
      </c>
      <c r="S109" s="65">
        <v>244.892517</v>
      </c>
      <c r="T109" s="65">
        <v>244.69248999999999</v>
      </c>
      <c r="U109" s="65">
        <v>244.41064499999999</v>
      </c>
      <c r="V109" s="65">
        <v>244.05093400000001</v>
      </c>
      <c r="W109" s="65">
        <v>243.70379600000001</v>
      </c>
      <c r="X109" s="65">
        <v>243.28808599999999</v>
      </c>
      <c r="Y109" s="65">
        <v>242.82324199999999</v>
      </c>
      <c r="Z109" s="65">
        <v>242.323669</v>
      </c>
      <c r="AA109" s="65">
        <v>241.79251099999999</v>
      </c>
      <c r="AB109" s="65">
        <v>241.21249399999999</v>
      </c>
      <c r="AC109" s="65">
        <v>240.62974500000001</v>
      </c>
      <c r="AD109" s="65">
        <v>240.037994</v>
      </c>
      <c r="AE109" s="65">
        <v>239.40690599999999</v>
      </c>
      <c r="AF109" s="65">
        <v>238.78274500000001</v>
      </c>
      <c r="AG109" s="65">
        <v>238.14810199999999</v>
      </c>
      <c r="AH109" s="65">
        <v>237.453339</v>
      </c>
      <c r="AI109" s="65">
        <v>236.735229</v>
      </c>
      <c r="AJ109" s="65">
        <v>235.958923</v>
      </c>
      <c r="AK109" s="66">
        <v>-8.9300000000000002E-4</v>
      </c>
    </row>
    <row r="110" spans="1:37" ht="15" customHeight="1">
      <c r="A110" s="94" t="s">
        <v>472</v>
      </c>
      <c r="B110" s="60" t="s">
        <v>473</v>
      </c>
      <c r="C110" s="95">
        <v>191.36454800000001</v>
      </c>
      <c r="D110" s="95">
        <v>190.832367</v>
      </c>
      <c r="E110" s="95">
        <v>190.20715300000001</v>
      </c>
      <c r="F110" s="95">
        <v>189.55967699999999</v>
      </c>
      <c r="G110" s="95">
        <v>188.87768600000001</v>
      </c>
      <c r="H110" s="95">
        <v>188.15933200000001</v>
      </c>
      <c r="I110" s="95">
        <v>187.40133700000001</v>
      </c>
      <c r="J110" s="95">
        <v>186.602295</v>
      </c>
      <c r="K110" s="95">
        <v>185.76179500000001</v>
      </c>
      <c r="L110" s="95">
        <v>184.88085899999999</v>
      </c>
      <c r="M110" s="95">
        <v>183.956131</v>
      </c>
      <c r="N110" s="95">
        <v>182.98594700000001</v>
      </c>
      <c r="O110" s="95">
        <v>181.96875</v>
      </c>
      <c r="P110" s="95">
        <v>180.90400700000001</v>
      </c>
      <c r="Q110" s="95">
        <v>179.79145800000001</v>
      </c>
      <c r="R110" s="95">
        <v>178.63125600000001</v>
      </c>
      <c r="S110" s="95">
        <v>177.424194</v>
      </c>
      <c r="T110" s="95">
        <v>176.17131000000001</v>
      </c>
      <c r="U110" s="95">
        <v>174.87384</v>
      </c>
      <c r="V110" s="95">
        <v>173.53327899999999</v>
      </c>
      <c r="W110" s="95">
        <v>172.15123</v>
      </c>
      <c r="X110" s="95">
        <v>170.729401</v>
      </c>
      <c r="Y110" s="95">
        <v>169.26956200000001</v>
      </c>
      <c r="Z110" s="95">
        <v>167.77354399999999</v>
      </c>
      <c r="AA110" s="95">
        <v>166.24323999999999</v>
      </c>
      <c r="AB110" s="95">
        <v>164.68083200000001</v>
      </c>
      <c r="AC110" s="95">
        <v>163.08828700000001</v>
      </c>
      <c r="AD110" s="95">
        <v>161.46795700000001</v>
      </c>
      <c r="AE110" s="95">
        <v>159.82218900000001</v>
      </c>
      <c r="AF110" s="95">
        <v>158.15313699999999</v>
      </c>
      <c r="AG110" s="95">
        <v>156.46227999999999</v>
      </c>
      <c r="AH110" s="95">
        <v>154.75143399999999</v>
      </c>
      <c r="AI110" s="95">
        <v>153.02230800000001</v>
      </c>
      <c r="AJ110" s="95">
        <v>151.27630600000001</v>
      </c>
      <c r="AK110" s="62">
        <v>-7.2329999999999998E-3</v>
      </c>
    </row>
    <row r="111" spans="1:37" ht="15" customHeight="1">
      <c r="A111" s="94" t="s">
        <v>474</v>
      </c>
      <c r="B111" s="60" t="s">
        <v>355</v>
      </c>
      <c r="C111" s="95">
        <v>51.500518999999997</v>
      </c>
      <c r="D111" s="95">
        <v>51.965815999999997</v>
      </c>
      <c r="E111" s="95">
        <v>53.292121999999999</v>
      </c>
      <c r="F111" s="95">
        <v>54.238151999999999</v>
      </c>
      <c r="G111" s="95">
        <v>55.280253999999999</v>
      </c>
      <c r="H111" s="95">
        <v>56.235686999999999</v>
      </c>
      <c r="I111" s="95">
        <v>57.175052999999998</v>
      </c>
      <c r="J111" s="95">
        <v>58.118209999999998</v>
      </c>
      <c r="K111" s="95">
        <v>59.134692999999999</v>
      </c>
      <c r="L111" s="95">
        <v>60.205787999999998</v>
      </c>
      <c r="M111" s="95">
        <v>61.165173000000003</v>
      </c>
      <c r="N111" s="95">
        <v>62.360554</v>
      </c>
      <c r="O111" s="95">
        <v>63.341693999999997</v>
      </c>
      <c r="P111" s="95">
        <v>64.383942000000005</v>
      </c>
      <c r="Q111" s="95">
        <v>65.425003000000004</v>
      </c>
      <c r="R111" s="95">
        <v>66.445526000000001</v>
      </c>
      <c r="S111" s="95">
        <v>67.468329999999995</v>
      </c>
      <c r="T111" s="95">
        <v>68.521179000000004</v>
      </c>
      <c r="U111" s="95">
        <v>69.536811999999998</v>
      </c>
      <c r="V111" s="95">
        <v>70.517662000000001</v>
      </c>
      <c r="W111" s="95">
        <v>71.552566999999996</v>
      </c>
      <c r="X111" s="95">
        <v>72.558678</v>
      </c>
      <c r="Y111" s="95">
        <v>73.55368</v>
      </c>
      <c r="Z111" s="95">
        <v>74.550117</v>
      </c>
      <c r="AA111" s="95">
        <v>75.549271000000005</v>
      </c>
      <c r="AB111" s="95">
        <v>76.531661999999997</v>
      </c>
      <c r="AC111" s="95">
        <v>77.541458000000006</v>
      </c>
      <c r="AD111" s="95">
        <v>78.570044999999993</v>
      </c>
      <c r="AE111" s="95">
        <v>79.584716999999998</v>
      </c>
      <c r="AF111" s="95">
        <v>80.629600999999994</v>
      </c>
      <c r="AG111" s="95">
        <v>81.685828999999998</v>
      </c>
      <c r="AH111" s="95">
        <v>82.701911999999993</v>
      </c>
      <c r="AI111" s="95">
        <v>83.712913999999998</v>
      </c>
      <c r="AJ111" s="95">
        <v>84.682616999999993</v>
      </c>
      <c r="AK111" s="62">
        <v>1.5377E-2</v>
      </c>
    </row>
    <row r="113" spans="1:37" ht="15" customHeight="1">
      <c r="A113" s="94" t="s">
        <v>475</v>
      </c>
      <c r="B113" s="60" t="s">
        <v>476</v>
      </c>
      <c r="C113" s="95">
        <v>135.31770299999999</v>
      </c>
      <c r="D113" s="95">
        <v>134.27882399999999</v>
      </c>
      <c r="E113" s="95">
        <v>133.616714</v>
      </c>
      <c r="F113" s="95">
        <v>133.108994</v>
      </c>
      <c r="G113" s="95">
        <v>132.632172</v>
      </c>
      <c r="H113" s="95">
        <v>131.97607400000001</v>
      </c>
      <c r="I113" s="95">
        <v>131.40249600000001</v>
      </c>
      <c r="J113" s="95">
        <v>130.875092</v>
      </c>
      <c r="K113" s="95">
        <v>130.32766699999999</v>
      </c>
      <c r="L113" s="95">
        <v>129.819489</v>
      </c>
      <c r="M113" s="95">
        <v>129.33656300000001</v>
      </c>
      <c r="N113" s="95">
        <v>128.91828899999999</v>
      </c>
      <c r="O113" s="95">
        <v>128.549362</v>
      </c>
      <c r="P113" s="95">
        <v>128.27327</v>
      </c>
      <c r="Q113" s="95">
        <v>128.137878</v>
      </c>
      <c r="R113" s="95">
        <v>127.990532</v>
      </c>
      <c r="S113" s="95">
        <v>127.88732899999999</v>
      </c>
      <c r="T113" s="95">
        <v>127.90370900000001</v>
      </c>
      <c r="U113" s="95">
        <v>127.907028</v>
      </c>
      <c r="V113" s="95">
        <v>127.89865899999999</v>
      </c>
      <c r="W113" s="95">
        <v>127.921967</v>
      </c>
      <c r="X113" s="95">
        <v>127.96122</v>
      </c>
      <c r="Y113" s="95">
        <v>127.98297100000001</v>
      </c>
      <c r="Z113" s="95">
        <v>128.01707500000001</v>
      </c>
      <c r="AA113" s="95">
        <v>128.05204800000001</v>
      </c>
      <c r="AB113" s="95">
        <v>128.12657200000001</v>
      </c>
      <c r="AC113" s="95">
        <v>128.19894400000001</v>
      </c>
      <c r="AD113" s="95">
        <v>128.31225599999999</v>
      </c>
      <c r="AE113" s="95">
        <v>128.43161000000001</v>
      </c>
      <c r="AF113" s="95">
        <v>128.538681</v>
      </c>
      <c r="AG113" s="95">
        <v>128.60691800000001</v>
      </c>
      <c r="AH113" s="95">
        <v>128.635727</v>
      </c>
      <c r="AI113" s="95">
        <v>128.67669699999999</v>
      </c>
      <c r="AJ113" s="95">
        <v>128.71118200000001</v>
      </c>
      <c r="AK113" s="62">
        <v>-1.323E-3</v>
      </c>
    </row>
    <row r="114" spans="1:37" ht="15" customHeight="1">
      <c r="A114" s="94" t="s">
        <v>477</v>
      </c>
      <c r="B114" s="60" t="s">
        <v>478</v>
      </c>
      <c r="C114" s="95">
        <v>679.153503</v>
      </c>
      <c r="D114" s="95">
        <v>704.263733</v>
      </c>
      <c r="E114" s="95">
        <v>690.70654300000001</v>
      </c>
      <c r="F114" s="95">
        <v>673.19164999999998</v>
      </c>
      <c r="G114" s="95">
        <v>660.01245100000006</v>
      </c>
      <c r="H114" s="95">
        <v>647.85308799999996</v>
      </c>
      <c r="I114" s="95">
        <v>640.444885</v>
      </c>
      <c r="J114" s="95">
        <v>641.46557600000006</v>
      </c>
      <c r="K114" s="95">
        <v>653.29547100000002</v>
      </c>
      <c r="L114" s="95">
        <v>657.33300799999995</v>
      </c>
      <c r="M114" s="95">
        <v>664.64691200000004</v>
      </c>
      <c r="N114" s="95">
        <v>673.61926300000005</v>
      </c>
      <c r="O114" s="95">
        <v>680.86157200000002</v>
      </c>
      <c r="P114" s="95">
        <v>682.96490500000004</v>
      </c>
      <c r="Q114" s="95">
        <v>685.36377000000005</v>
      </c>
      <c r="R114" s="95">
        <v>692.49523899999997</v>
      </c>
      <c r="S114" s="95">
        <v>693.11206100000004</v>
      </c>
      <c r="T114" s="95">
        <v>696.35351600000001</v>
      </c>
      <c r="U114" s="95">
        <v>697.71765100000005</v>
      </c>
      <c r="V114" s="95">
        <v>700.13562000000002</v>
      </c>
      <c r="W114" s="95">
        <v>700.378784</v>
      </c>
      <c r="X114" s="95">
        <v>703.28393600000004</v>
      </c>
      <c r="Y114" s="95">
        <v>706.42126499999995</v>
      </c>
      <c r="Z114" s="95">
        <v>711.11010699999997</v>
      </c>
      <c r="AA114" s="95">
        <v>715.57800299999997</v>
      </c>
      <c r="AB114" s="95">
        <v>721.45178199999998</v>
      </c>
      <c r="AC114" s="95">
        <v>725.307861</v>
      </c>
      <c r="AD114" s="95">
        <v>731.30902100000003</v>
      </c>
      <c r="AE114" s="95">
        <v>736.50280799999996</v>
      </c>
      <c r="AF114" s="95">
        <v>740.35290499999996</v>
      </c>
      <c r="AG114" s="95">
        <v>745.32843000000003</v>
      </c>
      <c r="AH114" s="95">
        <v>751.28027299999997</v>
      </c>
      <c r="AI114" s="95">
        <v>757.93084699999997</v>
      </c>
      <c r="AJ114" s="95">
        <v>764.31817599999999</v>
      </c>
      <c r="AK114" s="62">
        <v>2.5600000000000002E-3</v>
      </c>
    </row>
    <row r="116" spans="1:37" ht="15" customHeight="1">
      <c r="A116" s="94" t="s">
        <v>479</v>
      </c>
      <c r="B116" s="59" t="s">
        <v>480</v>
      </c>
      <c r="C116" s="65">
        <v>27942.273438</v>
      </c>
      <c r="D116" s="65">
        <v>28028.386718999998</v>
      </c>
      <c r="E116" s="65">
        <v>28231.378906000002</v>
      </c>
      <c r="F116" s="65">
        <v>27907.550781000002</v>
      </c>
      <c r="G116" s="65">
        <v>27649.613281000002</v>
      </c>
      <c r="H116" s="65">
        <v>27413.679688</v>
      </c>
      <c r="I116" s="65">
        <v>27081.539062</v>
      </c>
      <c r="J116" s="65">
        <v>26737.728515999999</v>
      </c>
      <c r="K116" s="65">
        <v>26403.916015999999</v>
      </c>
      <c r="L116" s="65">
        <v>26130.222656000002</v>
      </c>
      <c r="M116" s="65">
        <v>25866.310547000001</v>
      </c>
      <c r="N116" s="65">
        <v>25650.449218999998</v>
      </c>
      <c r="O116" s="65">
        <v>25419.376952999999</v>
      </c>
      <c r="P116" s="65">
        <v>25192.322265999999</v>
      </c>
      <c r="Q116" s="65">
        <v>24995.238281000002</v>
      </c>
      <c r="R116" s="65">
        <v>24816.873047000001</v>
      </c>
      <c r="S116" s="65">
        <v>24656.070312</v>
      </c>
      <c r="T116" s="65">
        <v>24529.458984000001</v>
      </c>
      <c r="U116" s="65">
        <v>24422.037109000001</v>
      </c>
      <c r="V116" s="65">
        <v>24372.001952999999</v>
      </c>
      <c r="W116" s="65">
        <v>24351.914062</v>
      </c>
      <c r="X116" s="65">
        <v>24362.824218999998</v>
      </c>
      <c r="Y116" s="65">
        <v>24386.867188</v>
      </c>
      <c r="Z116" s="65">
        <v>24422.039062</v>
      </c>
      <c r="AA116" s="65">
        <v>24479.832031000002</v>
      </c>
      <c r="AB116" s="65">
        <v>24551.398438</v>
      </c>
      <c r="AC116" s="65">
        <v>24650.125</v>
      </c>
      <c r="AD116" s="65">
        <v>24759.980468999998</v>
      </c>
      <c r="AE116" s="65">
        <v>24889.339843999998</v>
      </c>
      <c r="AF116" s="65">
        <v>25021.359375</v>
      </c>
      <c r="AG116" s="65">
        <v>25169.119140999999</v>
      </c>
      <c r="AH116" s="65">
        <v>25320.494140999999</v>
      </c>
      <c r="AI116" s="65">
        <v>25468.285156000002</v>
      </c>
      <c r="AJ116" s="65">
        <v>25620.25</v>
      </c>
      <c r="AK116" s="66">
        <v>-2.8029999999999999E-3</v>
      </c>
    </row>
    <row r="117" spans="1:37" ht="15" customHeight="1" thickBot="1"/>
    <row r="118" spans="1:37" ht="15" customHeight="1">
      <c r="B118" s="474" t="s">
        <v>481</v>
      </c>
      <c r="C118" s="474"/>
      <c r="D118" s="474"/>
      <c r="E118" s="474"/>
      <c r="F118" s="474"/>
      <c r="G118" s="474"/>
      <c r="H118" s="474"/>
      <c r="I118" s="474"/>
      <c r="J118" s="474"/>
      <c r="K118" s="474"/>
      <c r="L118" s="474"/>
      <c r="M118" s="474"/>
      <c r="N118" s="474"/>
      <c r="O118" s="474"/>
      <c r="P118" s="474"/>
      <c r="Q118" s="474"/>
      <c r="R118" s="474"/>
      <c r="S118" s="474"/>
      <c r="T118" s="474"/>
      <c r="U118" s="474"/>
      <c r="V118" s="474"/>
      <c r="W118" s="474"/>
      <c r="X118" s="474"/>
      <c r="Y118" s="474"/>
      <c r="Z118" s="474"/>
      <c r="AA118" s="474"/>
      <c r="AB118" s="474"/>
      <c r="AC118" s="474"/>
      <c r="AD118" s="474"/>
      <c r="AE118" s="474"/>
      <c r="AF118" s="474"/>
      <c r="AG118" s="474"/>
      <c r="AH118" s="474"/>
      <c r="AI118" s="474"/>
      <c r="AJ118" s="474"/>
      <c r="AK118" s="474"/>
    </row>
    <row r="119" spans="1:37" ht="15" customHeight="1">
      <c r="B119" s="51" t="s">
        <v>482</v>
      </c>
    </row>
    <row r="120" spans="1:37" ht="15" customHeight="1">
      <c r="B120" s="51" t="s">
        <v>483</v>
      </c>
    </row>
    <row r="121" spans="1:37" ht="15" customHeight="1">
      <c r="B121" s="51" t="s">
        <v>484</v>
      </c>
    </row>
    <row r="122" spans="1:37" ht="15" customHeight="1">
      <c r="B122" s="51" t="s">
        <v>485</v>
      </c>
    </row>
    <row r="123" spans="1:37" ht="15" customHeight="1">
      <c r="B123" s="51" t="s">
        <v>486</v>
      </c>
    </row>
    <row r="124" spans="1:37" ht="15" customHeight="1">
      <c r="B124" s="51" t="s">
        <v>166</v>
      </c>
    </row>
    <row r="125" spans="1:37" ht="15" customHeight="1">
      <c r="B125" s="51" t="s">
        <v>487</v>
      </c>
    </row>
    <row r="126" spans="1:37" ht="15" customHeight="1">
      <c r="B126" s="51" t="s">
        <v>488</v>
      </c>
    </row>
    <row r="127" spans="1:37" ht="15" customHeight="1">
      <c r="B127" s="51" t="s">
        <v>489</v>
      </c>
    </row>
    <row r="128" spans="1:37" ht="15" customHeight="1">
      <c r="B128" s="51" t="s">
        <v>490</v>
      </c>
    </row>
    <row r="129" spans="2:2" ht="15" customHeight="1">
      <c r="B129" s="51" t="s">
        <v>491</v>
      </c>
    </row>
    <row r="130" spans="2:2" ht="15" customHeight="1">
      <c r="B130" s="51" t="s">
        <v>492</v>
      </c>
    </row>
    <row r="131" spans="2:2" ht="15" customHeight="1">
      <c r="B131" s="51" t="s">
        <v>493</v>
      </c>
    </row>
    <row r="132" spans="2:2" ht="15" customHeight="1">
      <c r="B132" s="51" t="s">
        <v>494</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14" activePane="bottomRight" state="frozen"/>
      <selection activeCell="B1" sqref="B1"/>
      <selection pane="topRight" activeCell="B1" sqref="B1"/>
      <selection pane="bottomLeft" activeCell="B1" sqref="B1"/>
      <selection pane="bottomRight" activeCell="C68" sqref="C68"/>
    </sheetView>
  </sheetViews>
  <sheetFormatPr defaultColWidth="9.1328125" defaultRowHeight="15" customHeight="1"/>
  <cols>
    <col min="1" max="1" width="20.796875" style="52" hidden="1" customWidth="1"/>
    <col min="2" max="2" width="45.6640625" style="52" customWidth="1"/>
    <col min="3" max="16384" width="9.1328125" style="52"/>
  </cols>
  <sheetData>
    <row r="1" spans="1:37" ht="15" customHeight="1" thickBot="1">
      <c r="B1" s="53" t="s">
        <v>142</v>
      </c>
      <c r="C1" s="54">
        <v>2017</v>
      </c>
      <c r="D1" s="54">
        <v>2018</v>
      </c>
      <c r="E1" s="54">
        <v>2019</v>
      </c>
      <c r="F1" s="54">
        <v>2020</v>
      </c>
      <c r="G1" s="54">
        <v>2021</v>
      </c>
      <c r="H1" s="54">
        <v>2022</v>
      </c>
      <c r="I1" s="54">
        <v>2023</v>
      </c>
      <c r="J1" s="54">
        <v>2024</v>
      </c>
      <c r="K1" s="54">
        <v>2025</v>
      </c>
      <c r="L1" s="54">
        <v>2026</v>
      </c>
      <c r="M1" s="54">
        <v>2027</v>
      </c>
      <c r="N1" s="54">
        <v>2028</v>
      </c>
      <c r="O1" s="54">
        <v>2029</v>
      </c>
      <c r="P1" s="54">
        <v>2030</v>
      </c>
      <c r="Q1" s="54">
        <v>2031</v>
      </c>
      <c r="R1" s="54">
        <v>2032</v>
      </c>
      <c r="S1" s="54">
        <v>2033</v>
      </c>
      <c r="T1" s="54">
        <v>2034</v>
      </c>
      <c r="U1" s="54">
        <v>2035</v>
      </c>
      <c r="V1" s="54">
        <v>2036</v>
      </c>
      <c r="W1" s="54">
        <v>2037</v>
      </c>
      <c r="X1" s="54">
        <v>2038</v>
      </c>
      <c r="Y1" s="54">
        <v>2039</v>
      </c>
      <c r="Z1" s="54">
        <v>2040</v>
      </c>
      <c r="AA1" s="54">
        <v>2041</v>
      </c>
      <c r="AB1" s="54">
        <v>2042</v>
      </c>
      <c r="AC1" s="54">
        <v>2043</v>
      </c>
      <c r="AD1" s="54">
        <v>2044</v>
      </c>
      <c r="AE1" s="54">
        <v>2045</v>
      </c>
      <c r="AF1" s="54">
        <v>2046</v>
      </c>
      <c r="AG1" s="54">
        <v>2047</v>
      </c>
      <c r="AH1" s="54">
        <v>2048</v>
      </c>
      <c r="AI1" s="54">
        <v>2049</v>
      </c>
      <c r="AJ1" s="54">
        <v>2050</v>
      </c>
    </row>
    <row r="2" spans="1:37" ht="15" customHeight="1" thickTop="1"/>
    <row r="3" spans="1:37" ht="15" customHeight="1">
      <c r="C3" s="55" t="s">
        <v>143</v>
      </c>
      <c r="D3" s="55" t="s">
        <v>118</v>
      </c>
      <c r="E3" s="55"/>
      <c r="F3" s="55"/>
      <c r="G3" s="55"/>
    </row>
    <row r="4" spans="1:37" ht="15" customHeight="1">
      <c r="C4" s="55" t="s">
        <v>144</v>
      </c>
      <c r="D4" s="55" t="s">
        <v>145</v>
      </c>
      <c r="E4" s="55"/>
      <c r="F4" s="55"/>
      <c r="G4" s="55" t="s">
        <v>146</v>
      </c>
    </row>
    <row r="5" spans="1:37" ht="15" customHeight="1">
      <c r="C5" s="55" t="s">
        <v>147</v>
      </c>
      <c r="D5" s="55" t="s">
        <v>148</v>
      </c>
      <c r="E5" s="55"/>
      <c r="F5" s="55"/>
      <c r="G5" s="55"/>
    </row>
    <row r="6" spans="1:37" ht="15" customHeight="1">
      <c r="C6" s="55" t="s">
        <v>149</v>
      </c>
      <c r="D6" s="55"/>
      <c r="E6" s="55" t="s">
        <v>150</v>
      </c>
      <c r="F6" s="55"/>
      <c r="G6" s="55"/>
    </row>
    <row r="10" spans="1:37" ht="15" customHeight="1">
      <c r="A10" s="56" t="s">
        <v>170</v>
      </c>
      <c r="B10" s="57" t="s">
        <v>171</v>
      </c>
    </row>
    <row r="11" spans="1:37" ht="15" customHeight="1">
      <c r="B11" s="53" t="s">
        <v>172</v>
      </c>
    </row>
    <row r="12" spans="1:37" ht="15" customHeight="1">
      <c r="B12" s="53" t="s">
        <v>153</v>
      </c>
      <c r="C12" s="58" t="s">
        <v>153</v>
      </c>
      <c r="D12" s="58" t="s">
        <v>153</v>
      </c>
      <c r="E12" s="58" t="s">
        <v>153</v>
      </c>
      <c r="F12" s="58" t="s">
        <v>153</v>
      </c>
      <c r="G12" s="58" t="s">
        <v>153</v>
      </c>
      <c r="H12" s="58" t="s">
        <v>153</v>
      </c>
      <c r="I12" s="58" t="s">
        <v>153</v>
      </c>
      <c r="J12" s="58" t="s">
        <v>153</v>
      </c>
      <c r="K12" s="58" t="s">
        <v>153</v>
      </c>
      <c r="L12" s="58" t="s">
        <v>153</v>
      </c>
      <c r="M12" s="58" t="s">
        <v>153</v>
      </c>
      <c r="N12" s="58" t="s">
        <v>153</v>
      </c>
      <c r="O12" s="58" t="s">
        <v>153</v>
      </c>
      <c r="P12" s="58" t="s">
        <v>153</v>
      </c>
      <c r="Q12" s="58" t="s">
        <v>153</v>
      </c>
      <c r="R12" s="58" t="s">
        <v>153</v>
      </c>
      <c r="S12" s="58" t="s">
        <v>153</v>
      </c>
      <c r="T12" s="58" t="s">
        <v>153</v>
      </c>
      <c r="U12" s="58" t="s">
        <v>153</v>
      </c>
      <c r="V12" s="58" t="s">
        <v>153</v>
      </c>
      <c r="W12" s="58" t="s">
        <v>153</v>
      </c>
      <c r="X12" s="58" t="s">
        <v>153</v>
      </c>
      <c r="Y12" s="58" t="s">
        <v>153</v>
      </c>
      <c r="Z12" s="58" t="s">
        <v>153</v>
      </c>
      <c r="AA12" s="58" t="s">
        <v>153</v>
      </c>
      <c r="AB12" s="58" t="s">
        <v>153</v>
      </c>
      <c r="AC12" s="58" t="s">
        <v>153</v>
      </c>
      <c r="AD12" s="58" t="s">
        <v>153</v>
      </c>
      <c r="AE12" s="58" t="s">
        <v>153</v>
      </c>
      <c r="AF12" s="58" t="s">
        <v>153</v>
      </c>
      <c r="AG12" s="58" t="s">
        <v>153</v>
      </c>
      <c r="AH12" s="58" t="s">
        <v>153</v>
      </c>
      <c r="AI12" s="58" t="s">
        <v>153</v>
      </c>
      <c r="AJ12" s="58" t="s">
        <v>153</v>
      </c>
      <c r="AK12" s="58" t="s">
        <v>154</v>
      </c>
    </row>
    <row r="13" spans="1:37" ht="15" customHeight="1" thickBot="1">
      <c r="B13" s="54" t="s">
        <v>153</v>
      </c>
      <c r="C13" s="54">
        <v>2017</v>
      </c>
      <c r="D13" s="54">
        <v>2018</v>
      </c>
      <c r="E13" s="54">
        <v>2019</v>
      </c>
      <c r="F13" s="54">
        <v>2020</v>
      </c>
      <c r="G13" s="54">
        <v>2021</v>
      </c>
      <c r="H13" s="54">
        <v>2022</v>
      </c>
      <c r="I13" s="54">
        <v>2023</v>
      </c>
      <c r="J13" s="54">
        <v>2024</v>
      </c>
      <c r="K13" s="54">
        <v>2025</v>
      </c>
      <c r="L13" s="54">
        <v>2026</v>
      </c>
      <c r="M13" s="54">
        <v>2027</v>
      </c>
      <c r="N13" s="54">
        <v>2028</v>
      </c>
      <c r="O13" s="54">
        <v>2029</v>
      </c>
      <c r="P13" s="54">
        <v>2030</v>
      </c>
      <c r="Q13" s="54">
        <v>2031</v>
      </c>
      <c r="R13" s="54">
        <v>2032</v>
      </c>
      <c r="S13" s="54">
        <v>2033</v>
      </c>
      <c r="T13" s="54">
        <v>2034</v>
      </c>
      <c r="U13" s="54">
        <v>2035</v>
      </c>
      <c r="V13" s="54">
        <v>2036</v>
      </c>
      <c r="W13" s="54">
        <v>2037</v>
      </c>
      <c r="X13" s="54">
        <v>2038</v>
      </c>
      <c r="Y13" s="54">
        <v>2039</v>
      </c>
      <c r="Z13" s="54">
        <v>2040</v>
      </c>
      <c r="AA13" s="54">
        <v>2041</v>
      </c>
      <c r="AB13" s="54">
        <v>2042</v>
      </c>
      <c r="AC13" s="54">
        <v>2043</v>
      </c>
      <c r="AD13" s="54">
        <v>2044</v>
      </c>
      <c r="AE13" s="54">
        <v>2045</v>
      </c>
      <c r="AF13" s="54">
        <v>2046</v>
      </c>
      <c r="AG13" s="54">
        <v>2047</v>
      </c>
      <c r="AH13" s="54">
        <v>2048</v>
      </c>
      <c r="AI13" s="54">
        <v>2049</v>
      </c>
      <c r="AJ13" s="54">
        <v>2050</v>
      </c>
      <c r="AK13" s="54">
        <v>2050</v>
      </c>
    </row>
    <row r="14" spans="1:37" ht="15" customHeight="1" thickTop="1">
      <c r="B14" s="59" t="s">
        <v>173</v>
      </c>
    </row>
    <row r="15" spans="1:37" ht="15" customHeight="1">
      <c r="B15" s="59" t="s">
        <v>174</v>
      </c>
    </row>
    <row r="16" spans="1:37" ht="15" customHeight="1">
      <c r="A16" s="56" t="s">
        <v>175</v>
      </c>
      <c r="B16" s="60" t="s">
        <v>176</v>
      </c>
      <c r="C16" s="61">
        <v>6.6360000000000001</v>
      </c>
      <c r="D16" s="61">
        <v>6.6360000000000001</v>
      </c>
      <c r="E16" s="61">
        <v>6.6360000000000001</v>
      </c>
      <c r="F16" s="61">
        <v>6.6360000000000001</v>
      </c>
      <c r="G16" s="61">
        <v>6.6360000000000001</v>
      </c>
      <c r="H16" s="61">
        <v>6.6360000000000001</v>
      </c>
      <c r="I16" s="61">
        <v>6.6360000000000001</v>
      </c>
      <c r="J16" s="61">
        <v>6.6360000000000001</v>
      </c>
      <c r="K16" s="61">
        <v>6.6360000000000001</v>
      </c>
      <c r="L16" s="61">
        <v>6.6360000000000001</v>
      </c>
      <c r="M16" s="61">
        <v>6.6360000000000001</v>
      </c>
      <c r="N16" s="61">
        <v>6.6360000000000001</v>
      </c>
      <c r="O16" s="61">
        <v>6.6360000000000001</v>
      </c>
      <c r="P16" s="61">
        <v>6.6360000000000001</v>
      </c>
      <c r="Q16" s="61">
        <v>6.6360000000000001</v>
      </c>
      <c r="R16" s="61">
        <v>6.6360000000000001</v>
      </c>
      <c r="S16" s="61">
        <v>6.6360000000000001</v>
      </c>
      <c r="T16" s="61">
        <v>6.6360000000000001</v>
      </c>
      <c r="U16" s="61">
        <v>6.6360000000000001</v>
      </c>
      <c r="V16" s="61">
        <v>6.6360000000000001</v>
      </c>
      <c r="W16" s="61">
        <v>6.6360000000000001</v>
      </c>
      <c r="X16" s="61">
        <v>6.6360000000000001</v>
      </c>
      <c r="Y16" s="61">
        <v>6.6360000000000001</v>
      </c>
      <c r="Z16" s="61">
        <v>6.6360000000000001</v>
      </c>
      <c r="AA16" s="61">
        <v>6.6360000000000001</v>
      </c>
      <c r="AB16" s="61">
        <v>6.6360000000000001</v>
      </c>
      <c r="AC16" s="61">
        <v>6.6360000000000001</v>
      </c>
      <c r="AD16" s="61">
        <v>6.6360000000000001</v>
      </c>
      <c r="AE16" s="61">
        <v>6.6360000000000001</v>
      </c>
      <c r="AF16" s="61">
        <v>6.6360000000000001</v>
      </c>
      <c r="AG16" s="61">
        <v>6.6360000000000001</v>
      </c>
      <c r="AH16" s="61">
        <v>6.6360000000000001</v>
      </c>
      <c r="AI16" s="61">
        <v>6.6360000000000001</v>
      </c>
      <c r="AJ16" s="61">
        <v>6.6360000000000001</v>
      </c>
      <c r="AK16" s="62">
        <v>0</v>
      </c>
    </row>
    <row r="17" spans="1:37" ht="15" customHeight="1">
      <c r="A17" s="56" t="s">
        <v>177</v>
      </c>
      <c r="B17" s="60" t="s">
        <v>178</v>
      </c>
      <c r="C17" s="61">
        <v>5.048</v>
      </c>
      <c r="D17" s="61">
        <v>5.048</v>
      </c>
      <c r="E17" s="61">
        <v>5.048</v>
      </c>
      <c r="F17" s="61">
        <v>5.048</v>
      </c>
      <c r="G17" s="61">
        <v>5.048</v>
      </c>
      <c r="H17" s="61">
        <v>5.048</v>
      </c>
      <c r="I17" s="61">
        <v>5.048</v>
      </c>
      <c r="J17" s="61">
        <v>5.048</v>
      </c>
      <c r="K17" s="61">
        <v>5.048</v>
      </c>
      <c r="L17" s="61">
        <v>5.048</v>
      </c>
      <c r="M17" s="61">
        <v>5.048</v>
      </c>
      <c r="N17" s="61">
        <v>5.048</v>
      </c>
      <c r="O17" s="61">
        <v>5.048</v>
      </c>
      <c r="P17" s="61">
        <v>5.048</v>
      </c>
      <c r="Q17" s="61">
        <v>5.048</v>
      </c>
      <c r="R17" s="61">
        <v>5.048</v>
      </c>
      <c r="S17" s="61">
        <v>5.048</v>
      </c>
      <c r="T17" s="61">
        <v>5.048</v>
      </c>
      <c r="U17" s="61">
        <v>5.048</v>
      </c>
      <c r="V17" s="61">
        <v>5.048</v>
      </c>
      <c r="W17" s="61">
        <v>5.048</v>
      </c>
      <c r="X17" s="61">
        <v>5.048</v>
      </c>
      <c r="Y17" s="61">
        <v>5.048</v>
      </c>
      <c r="Z17" s="61">
        <v>5.048</v>
      </c>
      <c r="AA17" s="61">
        <v>5.048</v>
      </c>
      <c r="AB17" s="61">
        <v>5.048</v>
      </c>
      <c r="AC17" s="61">
        <v>5.048</v>
      </c>
      <c r="AD17" s="61">
        <v>5.048</v>
      </c>
      <c r="AE17" s="61">
        <v>5.048</v>
      </c>
      <c r="AF17" s="61">
        <v>5.048</v>
      </c>
      <c r="AG17" s="61">
        <v>5.048</v>
      </c>
      <c r="AH17" s="61">
        <v>5.048</v>
      </c>
      <c r="AI17" s="61">
        <v>5.048</v>
      </c>
      <c r="AJ17" s="61">
        <v>5.048</v>
      </c>
      <c r="AK17" s="62">
        <v>0</v>
      </c>
    </row>
    <row r="18" spans="1:37" ht="15" customHeight="1">
      <c r="A18" s="56" t="s">
        <v>179</v>
      </c>
      <c r="B18" s="60" t="s">
        <v>180</v>
      </c>
      <c r="C18" s="61">
        <v>5.359</v>
      </c>
      <c r="D18" s="61">
        <v>5.359</v>
      </c>
      <c r="E18" s="61">
        <v>5.359</v>
      </c>
      <c r="F18" s="61">
        <v>5.359</v>
      </c>
      <c r="G18" s="61">
        <v>5.359</v>
      </c>
      <c r="H18" s="61">
        <v>5.359</v>
      </c>
      <c r="I18" s="61">
        <v>5.359</v>
      </c>
      <c r="J18" s="61">
        <v>5.359</v>
      </c>
      <c r="K18" s="61">
        <v>5.359</v>
      </c>
      <c r="L18" s="61">
        <v>5.359</v>
      </c>
      <c r="M18" s="61">
        <v>5.359</v>
      </c>
      <c r="N18" s="61">
        <v>5.359</v>
      </c>
      <c r="O18" s="61">
        <v>5.359</v>
      </c>
      <c r="P18" s="61">
        <v>5.359</v>
      </c>
      <c r="Q18" s="61">
        <v>5.359</v>
      </c>
      <c r="R18" s="61">
        <v>5.359</v>
      </c>
      <c r="S18" s="61">
        <v>5.359</v>
      </c>
      <c r="T18" s="61">
        <v>5.359</v>
      </c>
      <c r="U18" s="61">
        <v>5.359</v>
      </c>
      <c r="V18" s="61">
        <v>5.359</v>
      </c>
      <c r="W18" s="61">
        <v>5.359</v>
      </c>
      <c r="X18" s="61">
        <v>5.359</v>
      </c>
      <c r="Y18" s="61">
        <v>5.359</v>
      </c>
      <c r="Z18" s="61">
        <v>5.359</v>
      </c>
      <c r="AA18" s="61">
        <v>5.359</v>
      </c>
      <c r="AB18" s="61">
        <v>5.359</v>
      </c>
      <c r="AC18" s="61">
        <v>5.359</v>
      </c>
      <c r="AD18" s="61">
        <v>5.359</v>
      </c>
      <c r="AE18" s="61">
        <v>5.359</v>
      </c>
      <c r="AF18" s="61">
        <v>5.359</v>
      </c>
      <c r="AG18" s="61">
        <v>5.359</v>
      </c>
      <c r="AH18" s="61">
        <v>5.359</v>
      </c>
      <c r="AI18" s="61">
        <v>5.359</v>
      </c>
      <c r="AJ18" s="61">
        <v>5.359</v>
      </c>
      <c r="AK18" s="62">
        <v>0</v>
      </c>
    </row>
    <row r="19" spans="1:37" s="88" customFormat="1" ht="15" customHeight="1">
      <c r="A19" s="84" t="s">
        <v>181</v>
      </c>
      <c r="B19" s="85" t="s">
        <v>182</v>
      </c>
      <c r="C19" s="86">
        <v>5.8250000000000002</v>
      </c>
      <c r="D19" s="86">
        <v>5.8250000000000002</v>
      </c>
      <c r="E19" s="86">
        <v>5.8250000000000002</v>
      </c>
      <c r="F19" s="86">
        <v>5.8250000000000002</v>
      </c>
      <c r="G19" s="86">
        <v>5.8250000000000002</v>
      </c>
      <c r="H19" s="86">
        <v>5.8250000000000002</v>
      </c>
      <c r="I19" s="86">
        <v>5.8250000000000002</v>
      </c>
      <c r="J19" s="86">
        <v>5.8250000000000002</v>
      </c>
      <c r="K19" s="86">
        <v>5.8250000000000002</v>
      </c>
      <c r="L19" s="86">
        <v>5.8250000000000002</v>
      </c>
      <c r="M19" s="86">
        <v>5.8250000000000002</v>
      </c>
      <c r="N19" s="86">
        <v>5.8250000000000002</v>
      </c>
      <c r="O19" s="86">
        <v>5.8250000000000002</v>
      </c>
      <c r="P19" s="86">
        <v>5.8250000000000002</v>
      </c>
      <c r="Q19" s="86">
        <v>5.8250000000000002</v>
      </c>
      <c r="R19" s="86">
        <v>5.8250000000000002</v>
      </c>
      <c r="S19" s="86">
        <v>5.8250000000000002</v>
      </c>
      <c r="T19" s="86">
        <v>5.8250000000000002</v>
      </c>
      <c r="U19" s="86">
        <v>5.8250000000000002</v>
      </c>
      <c r="V19" s="86">
        <v>5.8250000000000002</v>
      </c>
      <c r="W19" s="86">
        <v>5.8250000000000002</v>
      </c>
      <c r="X19" s="86">
        <v>5.8250000000000002</v>
      </c>
      <c r="Y19" s="86">
        <v>5.8250000000000002</v>
      </c>
      <c r="Z19" s="86">
        <v>5.8250000000000002</v>
      </c>
      <c r="AA19" s="86">
        <v>5.8250000000000002</v>
      </c>
      <c r="AB19" s="86">
        <v>5.8250000000000002</v>
      </c>
      <c r="AC19" s="86">
        <v>5.8250000000000002</v>
      </c>
      <c r="AD19" s="86">
        <v>5.8250000000000002</v>
      </c>
      <c r="AE19" s="86">
        <v>5.8250000000000002</v>
      </c>
      <c r="AF19" s="86">
        <v>5.8250000000000002</v>
      </c>
      <c r="AG19" s="86">
        <v>5.8250000000000002</v>
      </c>
      <c r="AH19" s="86">
        <v>5.8250000000000002</v>
      </c>
      <c r="AI19" s="86">
        <v>5.8250000000000002</v>
      </c>
      <c r="AJ19" s="86">
        <v>5.8250000000000002</v>
      </c>
      <c r="AK19" s="87">
        <v>0</v>
      </c>
    </row>
    <row r="20" spans="1:37" ht="15" customHeight="1">
      <c r="A20" s="56" t="s">
        <v>183</v>
      </c>
      <c r="B20" s="60" t="s">
        <v>184</v>
      </c>
      <c r="C20" s="61">
        <v>5.7746510000000004</v>
      </c>
      <c r="D20" s="61">
        <v>5.7738240000000003</v>
      </c>
      <c r="E20" s="61">
        <v>5.7736289999999997</v>
      </c>
      <c r="F20" s="61">
        <v>5.7729280000000003</v>
      </c>
      <c r="G20" s="61">
        <v>5.7731190000000003</v>
      </c>
      <c r="H20" s="61">
        <v>5.7737270000000001</v>
      </c>
      <c r="I20" s="61">
        <v>5.7724289999999998</v>
      </c>
      <c r="J20" s="61">
        <v>5.773784</v>
      </c>
      <c r="K20" s="61">
        <v>5.7726059999999997</v>
      </c>
      <c r="L20" s="61">
        <v>5.7733230000000004</v>
      </c>
      <c r="M20" s="61">
        <v>5.7745470000000001</v>
      </c>
      <c r="N20" s="61">
        <v>5.7747440000000001</v>
      </c>
      <c r="O20" s="61">
        <v>5.7735219999999998</v>
      </c>
      <c r="P20" s="61">
        <v>5.7736159999999996</v>
      </c>
      <c r="Q20" s="61">
        <v>5.7735810000000001</v>
      </c>
      <c r="R20" s="61">
        <v>5.7734930000000002</v>
      </c>
      <c r="S20" s="61">
        <v>5.7744850000000003</v>
      </c>
      <c r="T20" s="61">
        <v>5.7733730000000003</v>
      </c>
      <c r="U20" s="61">
        <v>5.7733169999999996</v>
      </c>
      <c r="V20" s="61">
        <v>5.7729939999999997</v>
      </c>
      <c r="W20" s="61">
        <v>5.7732359999999998</v>
      </c>
      <c r="X20" s="61">
        <v>5.7731630000000003</v>
      </c>
      <c r="Y20" s="61">
        <v>5.7730449999999998</v>
      </c>
      <c r="Z20" s="61">
        <v>5.773002</v>
      </c>
      <c r="AA20" s="61">
        <v>5.7729929999999996</v>
      </c>
      <c r="AB20" s="61">
        <v>5.7727380000000004</v>
      </c>
      <c r="AC20" s="61">
        <v>5.772945</v>
      </c>
      <c r="AD20" s="61">
        <v>5.7726160000000002</v>
      </c>
      <c r="AE20" s="61">
        <v>5.7726569999999997</v>
      </c>
      <c r="AF20" s="61">
        <v>5.7725039999999996</v>
      </c>
      <c r="AG20" s="61">
        <v>5.7722730000000002</v>
      </c>
      <c r="AH20" s="61">
        <v>5.7721470000000004</v>
      </c>
      <c r="AI20" s="61">
        <v>5.7719480000000001</v>
      </c>
      <c r="AJ20" s="61">
        <v>5.7717749999999999</v>
      </c>
      <c r="AK20" s="62">
        <v>-1.1E-5</v>
      </c>
    </row>
    <row r="21" spans="1:37" ht="15" customHeight="1">
      <c r="A21" s="56" t="s">
        <v>185</v>
      </c>
      <c r="B21" s="60" t="s">
        <v>186</v>
      </c>
      <c r="C21" s="61">
        <v>5.7746510000000004</v>
      </c>
      <c r="D21" s="61">
        <v>5.7738240000000003</v>
      </c>
      <c r="E21" s="61">
        <v>5.7736289999999997</v>
      </c>
      <c r="F21" s="61">
        <v>5.7729280000000003</v>
      </c>
      <c r="G21" s="61">
        <v>5.7731190000000003</v>
      </c>
      <c r="H21" s="61">
        <v>5.7737270000000001</v>
      </c>
      <c r="I21" s="61">
        <v>5.7724289999999998</v>
      </c>
      <c r="J21" s="61">
        <v>5.773784</v>
      </c>
      <c r="K21" s="61">
        <v>5.7726059999999997</v>
      </c>
      <c r="L21" s="61">
        <v>5.7733230000000004</v>
      </c>
      <c r="M21" s="61">
        <v>5.7745470000000001</v>
      </c>
      <c r="N21" s="61">
        <v>5.7747440000000001</v>
      </c>
      <c r="O21" s="61">
        <v>5.7735219999999998</v>
      </c>
      <c r="P21" s="61">
        <v>5.7736159999999996</v>
      </c>
      <c r="Q21" s="61">
        <v>5.7735810000000001</v>
      </c>
      <c r="R21" s="61">
        <v>5.7734930000000002</v>
      </c>
      <c r="S21" s="61">
        <v>5.7744850000000003</v>
      </c>
      <c r="T21" s="61">
        <v>5.7733730000000003</v>
      </c>
      <c r="U21" s="61">
        <v>5.7733169999999996</v>
      </c>
      <c r="V21" s="61">
        <v>5.7729939999999997</v>
      </c>
      <c r="W21" s="61">
        <v>5.7732359999999998</v>
      </c>
      <c r="X21" s="61">
        <v>5.7731630000000003</v>
      </c>
      <c r="Y21" s="61">
        <v>5.7730449999999998</v>
      </c>
      <c r="Z21" s="61">
        <v>5.773002</v>
      </c>
      <c r="AA21" s="61">
        <v>5.7729929999999996</v>
      </c>
      <c r="AB21" s="61">
        <v>5.7727380000000004</v>
      </c>
      <c r="AC21" s="61">
        <v>5.772945</v>
      </c>
      <c r="AD21" s="61">
        <v>5.7726160000000002</v>
      </c>
      <c r="AE21" s="61">
        <v>5.7726569999999997</v>
      </c>
      <c r="AF21" s="61">
        <v>5.7725039999999996</v>
      </c>
      <c r="AG21" s="61">
        <v>5.7722730000000002</v>
      </c>
      <c r="AH21" s="61">
        <v>5.7721470000000004</v>
      </c>
      <c r="AI21" s="61">
        <v>5.7719480000000001</v>
      </c>
      <c r="AJ21" s="61">
        <v>5.7717749999999999</v>
      </c>
      <c r="AK21" s="62">
        <v>-1.1E-5</v>
      </c>
    </row>
    <row r="22" spans="1:37" ht="15" customHeight="1">
      <c r="A22" s="56" t="s">
        <v>187</v>
      </c>
      <c r="B22" s="60" t="s">
        <v>188</v>
      </c>
      <c r="C22" s="61">
        <v>5.7746510000000004</v>
      </c>
      <c r="D22" s="61">
        <v>5.7738240000000003</v>
      </c>
      <c r="E22" s="61">
        <v>5.7736289999999997</v>
      </c>
      <c r="F22" s="61">
        <v>5.7729280000000003</v>
      </c>
      <c r="G22" s="61">
        <v>5.7731190000000003</v>
      </c>
      <c r="H22" s="61">
        <v>5.7737270000000001</v>
      </c>
      <c r="I22" s="61">
        <v>5.7724289999999998</v>
      </c>
      <c r="J22" s="61">
        <v>5.773784</v>
      </c>
      <c r="K22" s="61">
        <v>5.7726059999999997</v>
      </c>
      <c r="L22" s="61">
        <v>5.7733230000000004</v>
      </c>
      <c r="M22" s="61">
        <v>5.7745470000000001</v>
      </c>
      <c r="N22" s="61">
        <v>5.7747440000000001</v>
      </c>
      <c r="O22" s="61">
        <v>5.7735219999999998</v>
      </c>
      <c r="P22" s="61">
        <v>5.7736159999999996</v>
      </c>
      <c r="Q22" s="61">
        <v>5.7735810000000001</v>
      </c>
      <c r="R22" s="61">
        <v>5.7734930000000002</v>
      </c>
      <c r="S22" s="61">
        <v>5.7744850000000003</v>
      </c>
      <c r="T22" s="61">
        <v>5.7733730000000003</v>
      </c>
      <c r="U22" s="61">
        <v>5.7733169999999996</v>
      </c>
      <c r="V22" s="61">
        <v>5.7729939999999997</v>
      </c>
      <c r="W22" s="61">
        <v>5.7732359999999998</v>
      </c>
      <c r="X22" s="61">
        <v>5.7731630000000003</v>
      </c>
      <c r="Y22" s="61">
        <v>5.7730449999999998</v>
      </c>
      <c r="Z22" s="61">
        <v>5.773002</v>
      </c>
      <c r="AA22" s="61">
        <v>5.7729929999999996</v>
      </c>
      <c r="AB22" s="61">
        <v>5.7727380000000004</v>
      </c>
      <c r="AC22" s="61">
        <v>5.772945</v>
      </c>
      <c r="AD22" s="61">
        <v>5.7726160000000002</v>
      </c>
      <c r="AE22" s="61">
        <v>5.7726569999999997</v>
      </c>
      <c r="AF22" s="61">
        <v>5.7725039999999996</v>
      </c>
      <c r="AG22" s="61">
        <v>5.7722730000000002</v>
      </c>
      <c r="AH22" s="61">
        <v>5.7721470000000004</v>
      </c>
      <c r="AI22" s="61">
        <v>5.7719480000000001</v>
      </c>
      <c r="AJ22" s="61">
        <v>5.7717749999999999</v>
      </c>
      <c r="AK22" s="62">
        <v>-1.1E-5</v>
      </c>
    </row>
    <row r="23" spans="1:37" ht="15" customHeight="1">
      <c r="A23" s="56" t="s">
        <v>189</v>
      </c>
      <c r="B23" s="60" t="s">
        <v>190</v>
      </c>
      <c r="C23" s="61">
        <v>5.7746510000000004</v>
      </c>
      <c r="D23" s="61">
        <v>5.7738240000000003</v>
      </c>
      <c r="E23" s="61">
        <v>5.7736289999999997</v>
      </c>
      <c r="F23" s="61">
        <v>5.7729280000000003</v>
      </c>
      <c r="G23" s="61">
        <v>5.7731190000000003</v>
      </c>
      <c r="H23" s="61">
        <v>5.7737270000000001</v>
      </c>
      <c r="I23" s="61">
        <v>5.7724289999999998</v>
      </c>
      <c r="J23" s="61">
        <v>5.773784</v>
      </c>
      <c r="K23" s="61">
        <v>5.7726059999999997</v>
      </c>
      <c r="L23" s="61">
        <v>5.7733230000000004</v>
      </c>
      <c r="M23" s="61">
        <v>5.7745470000000001</v>
      </c>
      <c r="N23" s="61">
        <v>5.7747440000000001</v>
      </c>
      <c r="O23" s="61">
        <v>5.7735219999999998</v>
      </c>
      <c r="P23" s="61">
        <v>5.7736159999999996</v>
      </c>
      <c r="Q23" s="61">
        <v>5.7735810000000001</v>
      </c>
      <c r="R23" s="61">
        <v>5.7734930000000002</v>
      </c>
      <c r="S23" s="61">
        <v>5.7744850000000003</v>
      </c>
      <c r="T23" s="61">
        <v>5.7733730000000003</v>
      </c>
      <c r="U23" s="61">
        <v>5.7733169999999996</v>
      </c>
      <c r="V23" s="61">
        <v>5.7729939999999997</v>
      </c>
      <c r="W23" s="61">
        <v>5.7732359999999998</v>
      </c>
      <c r="X23" s="61">
        <v>5.7731630000000003</v>
      </c>
      <c r="Y23" s="61">
        <v>5.7730449999999998</v>
      </c>
      <c r="Z23" s="61">
        <v>5.773002</v>
      </c>
      <c r="AA23" s="61">
        <v>5.7729929999999996</v>
      </c>
      <c r="AB23" s="61">
        <v>5.7727380000000004</v>
      </c>
      <c r="AC23" s="61">
        <v>5.772945</v>
      </c>
      <c r="AD23" s="61">
        <v>5.7726160000000002</v>
      </c>
      <c r="AE23" s="61">
        <v>5.7726569999999997</v>
      </c>
      <c r="AF23" s="61">
        <v>5.7725039999999996</v>
      </c>
      <c r="AG23" s="61">
        <v>5.7722730000000002</v>
      </c>
      <c r="AH23" s="61">
        <v>5.7721470000000004</v>
      </c>
      <c r="AI23" s="61">
        <v>5.7719480000000001</v>
      </c>
      <c r="AJ23" s="61">
        <v>5.7717749999999999</v>
      </c>
      <c r="AK23" s="62">
        <v>-1.1E-5</v>
      </c>
    </row>
    <row r="24" spans="1:37" ht="15" customHeight="1">
      <c r="A24" s="56" t="s">
        <v>191</v>
      </c>
      <c r="B24" s="60" t="s">
        <v>192</v>
      </c>
      <c r="C24" s="61">
        <v>5.7746510000000004</v>
      </c>
      <c r="D24" s="61">
        <v>5.7738240000000003</v>
      </c>
      <c r="E24" s="61">
        <v>5.7736289999999997</v>
      </c>
      <c r="F24" s="61">
        <v>5.7729280000000003</v>
      </c>
      <c r="G24" s="61">
        <v>5.7731190000000003</v>
      </c>
      <c r="H24" s="61">
        <v>5.7737270000000001</v>
      </c>
      <c r="I24" s="61">
        <v>5.7724289999999998</v>
      </c>
      <c r="J24" s="61">
        <v>5.773784</v>
      </c>
      <c r="K24" s="61">
        <v>5.7726059999999997</v>
      </c>
      <c r="L24" s="61">
        <v>5.7733230000000004</v>
      </c>
      <c r="M24" s="61">
        <v>5.7745470000000001</v>
      </c>
      <c r="N24" s="61">
        <v>5.7747440000000001</v>
      </c>
      <c r="O24" s="61">
        <v>5.7735219999999998</v>
      </c>
      <c r="P24" s="61">
        <v>5.7736159999999996</v>
      </c>
      <c r="Q24" s="61">
        <v>5.7735810000000001</v>
      </c>
      <c r="R24" s="61">
        <v>5.7734930000000002</v>
      </c>
      <c r="S24" s="61">
        <v>5.7744850000000003</v>
      </c>
      <c r="T24" s="61">
        <v>5.7733730000000003</v>
      </c>
      <c r="U24" s="61">
        <v>5.7733169999999996</v>
      </c>
      <c r="V24" s="61">
        <v>5.7729939999999997</v>
      </c>
      <c r="W24" s="61">
        <v>5.7732359999999998</v>
      </c>
      <c r="X24" s="61">
        <v>5.7731630000000003</v>
      </c>
      <c r="Y24" s="61">
        <v>5.7730449999999998</v>
      </c>
      <c r="Z24" s="61">
        <v>5.773002</v>
      </c>
      <c r="AA24" s="61">
        <v>5.7729929999999996</v>
      </c>
      <c r="AB24" s="61">
        <v>5.7727380000000004</v>
      </c>
      <c r="AC24" s="61">
        <v>5.772945</v>
      </c>
      <c r="AD24" s="61">
        <v>5.7726160000000002</v>
      </c>
      <c r="AE24" s="61">
        <v>5.7726569999999997</v>
      </c>
      <c r="AF24" s="61">
        <v>5.7725039999999996</v>
      </c>
      <c r="AG24" s="61">
        <v>5.7722730000000002</v>
      </c>
      <c r="AH24" s="61">
        <v>5.7721470000000004</v>
      </c>
      <c r="AI24" s="61">
        <v>5.7719480000000001</v>
      </c>
      <c r="AJ24" s="61">
        <v>5.7717749999999999</v>
      </c>
      <c r="AK24" s="62">
        <v>-1.1E-5</v>
      </c>
    </row>
    <row r="25" spans="1:37" ht="15" customHeight="1">
      <c r="A25" s="56" t="s">
        <v>193</v>
      </c>
      <c r="B25" s="60" t="s">
        <v>194</v>
      </c>
      <c r="C25" s="61">
        <v>5.7746510000000004</v>
      </c>
      <c r="D25" s="61">
        <v>5.7738240000000003</v>
      </c>
      <c r="E25" s="61">
        <v>5.7736280000000004</v>
      </c>
      <c r="F25" s="61">
        <v>5.7729270000000001</v>
      </c>
      <c r="G25" s="61">
        <v>5.7731190000000003</v>
      </c>
      <c r="H25" s="61">
        <v>5.7737270000000001</v>
      </c>
      <c r="I25" s="61">
        <v>5.7724289999999998</v>
      </c>
      <c r="J25" s="61">
        <v>5.773784</v>
      </c>
      <c r="K25" s="61">
        <v>5.7726059999999997</v>
      </c>
      <c r="L25" s="61">
        <v>5.7733220000000003</v>
      </c>
      <c r="M25" s="61">
        <v>5.7745480000000002</v>
      </c>
      <c r="N25" s="61">
        <v>5.7747440000000001</v>
      </c>
      <c r="O25" s="61">
        <v>5.7735219999999998</v>
      </c>
      <c r="P25" s="61">
        <v>5.7736159999999996</v>
      </c>
      <c r="Q25" s="61">
        <v>5.7735799999999999</v>
      </c>
      <c r="R25" s="61">
        <v>5.7734930000000002</v>
      </c>
      <c r="S25" s="61">
        <v>5.7744850000000003</v>
      </c>
      <c r="T25" s="61">
        <v>5.7733730000000003</v>
      </c>
      <c r="U25" s="61">
        <v>5.7733169999999996</v>
      </c>
      <c r="V25" s="61">
        <v>5.7729939999999997</v>
      </c>
      <c r="W25" s="61">
        <v>5.7732359999999998</v>
      </c>
      <c r="X25" s="61">
        <v>5.7731620000000001</v>
      </c>
      <c r="Y25" s="61">
        <v>5.7730439999999996</v>
      </c>
      <c r="Z25" s="61">
        <v>5.773002</v>
      </c>
      <c r="AA25" s="61">
        <v>5.7729929999999996</v>
      </c>
      <c r="AB25" s="61">
        <v>5.7727380000000004</v>
      </c>
      <c r="AC25" s="61">
        <v>5.772945</v>
      </c>
      <c r="AD25" s="61">
        <v>5.7726170000000003</v>
      </c>
      <c r="AE25" s="61">
        <v>5.7726559999999996</v>
      </c>
      <c r="AF25" s="61">
        <v>5.7725039999999996</v>
      </c>
      <c r="AG25" s="61">
        <v>5.7722740000000003</v>
      </c>
      <c r="AH25" s="61">
        <v>5.7721470000000004</v>
      </c>
      <c r="AI25" s="61">
        <v>5.7719480000000001</v>
      </c>
      <c r="AJ25" s="61">
        <v>5.7717749999999999</v>
      </c>
      <c r="AK25" s="62">
        <v>-1.1E-5</v>
      </c>
    </row>
    <row r="26" spans="1:37" ht="15" customHeight="1">
      <c r="A26" s="56" t="s">
        <v>195</v>
      </c>
      <c r="B26" s="60" t="s">
        <v>196</v>
      </c>
      <c r="C26" s="61">
        <v>5.8170000000000002</v>
      </c>
      <c r="D26" s="61">
        <v>5.8170000000000002</v>
      </c>
      <c r="E26" s="61">
        <v>5.8170000000000002</v>
      </c>
      <c r="F26" s="61">
        <v>5.8170000000000002</v>
      </c>
      <c r="G26" s="61">
        <v>5.8170000000000002</v>
      </c>
      <c r="H26" s="61">
        <v>5.8170000000000002</v>
      </c>
      <c r="I26" s="61">
        <v>5.8170000000000002</v>
      </c>
      <c r="J26" s="61">
        <v>5.8170000000000002</v>
      </c>
      <c r="K26" s="61">
        <v>5.8170000000000002</v>
      </c>
      <c r="L26" s="61">
        <v>5.8170000000000002</v>
      </c>
      <c r="M26" s="61">
        <v>5.8170000000000002</v>
      </c>
      <c r="N26" s="61">
        <v>5.8170000000000002</v>
      </c>
      <c r="O26" s="61">
        <v>5.8170000000000002</v>
      </c>
      <c r="P26" s="61">
        <v>5.8170000000000002</v>
      </c>
      <c r="Q26" s="61">
        <v>5.8170000000000002</v>
      </c>
      <c r="R26" s="61">
        <v>5.8170000000000002</v>
      </c>
      <c r="S26" s="61">
        <v>5.8170000000000002</v>
      </c>
      <c r="T26" s="61">
        <v>5.8170000000000002</v>
      </c>
      <c r="U26" s="61">
        <v>5.8170000000000002</v>
      </c>
      <c r="V26" s="61">
        <v>5.8170000000000002</v>
      </c>
      <c r="W26" s="61">
        <v>5.8170000000000002</v>
      </c>
      <c r="X26" s="61">
        <v>5.8170000000000002</v>
      </c>
      <c r="Y26" s="61">
        <v>5.8170000000000002</v>
      </c>
      <c r="Z26" s="61">
        <v>5.8170000000000002</v>
      </c>
      <c r="AA26" s="61">
        <v>5.8170000000000002</v>
      </c>
      <c r="AB26" s="61">
        <v>5.8170000000000002</v>
      </c>
      <c r="AC26" s="61">
        <v>5.8170000000000002</v>
      </c>
      <c r="AD26" s="61">
        <v>5.8170000000000002</v>
      </c>
      <c r="AE26" s="61">
        <v>5.8170000000000002</v>
      </c>
      <c r="AF26" s="61">
        <v>5.8170000000000002</v>
      </c>
      <c r="AG26" s="61">
        <v>5.8170000000000002</v>
      </c>
      <c r="AH26" s="61">
        <v>5.8170000000000002</v>
      </c>
      <c r="AI26" s="61">
        <v>5.8170000000000002</v>
      </c>
      <c r="AJ26" s="61">
        <v>5.8170000000000002</v>
      </c>
      <c r="AK26" s="62">
        <v>0</v>
      </c>
    </row>
    <row r="27" spans="1:37" ht="15" customHeight="1">
      <c r="A27" s="56" t="s">
        <v>197</v>
      </c>
      <c r="B27" s="60" t="s">
        <v>198</v>
      </c>
      <c r="C27" s="61">
        <v>5.77</v>
      </c>
      <c r="D27" s="61">
        <v>5.77</v>
      </c>
      <c r="E27" s="61">
        <v>5.77</v>
      </c>
      <c r="F27" s="61">
        <v>5.77</v>
      </c>
      <c r="G27" s="61">
        <v>5.77</v>
      </c>
      <c r="H27" s="61">
        <v>5.77</v>
      </c>
      <c r="I27" s="61">
        <v>5.77</v>
      </c>
      <c r="J27" s="61">
        <v>5.77</v>
      </c>
      <c r="K27" s="61">
        <v>5.77</v>
      </c>
      <c r="L27" s="61">
        <v>5.77</v>
      </c>
      <c r="M27" s="61">
        <v>5.77</v>
      </c>
      <c r="N27" s="61">
        <v>5.77</v>
      </c>
      <c r="O27" s="61">
        <v>5.77</v>
      </c>
      <c r="P27" s="61">
        <v>5.77</v>
      </c>
      <c r="Q27" s="61">
        <v>5.77</v>
      </c>
      <c r="R27" s="61">
        <v>5.77</v>
      </c>
      <c r="S27" s="61">
        <v>5.77</v>
      </c>
      <c r="T27" s="61">
        <v>5.77</v>
      </c>
      <c r="U27" s="61">
        <v>5.77</v>
      </c>
      <c r="V27" s="61">
        <v>5.77</v>
      </c>
      <c r="W27" s="61">
        <v>5.77</v>
      </c>
      <c r="X27" s="61">
        <v>5.77</v>
      </c>
      <c r="Y27" s="61">
        <v>5.77</v>
      </c>
      <c r="Z27" s="61">
        <v>5.77</v>
      </c>
      <c r="AA27" s="61">
        <v>5.77</v>
      </c>
      <c r="AB27" s="61">
        <v>5.77</v>
      </c>
      <c r="AC27" s="61">
        <v>5.77</v>
      </c>
      <c r="AD27" s="61">
        <v>5.77</v>
      </c>
      <c r="AE27" s="61">
        <v>5.77</v>
      </c>
      <c r="AF27" s="61">
        <v>5.77</v>
      </c>
      <c r="AG27" s="61">
        <v>5.77</v>
      </c>
      <c r="AH27" s="61">
        <v>5.77</v>
      </c>
      <c r="AI27" s="61">
        <v>5.77</v>
      </c>
      <c r="AJ27" s="61">
        <v>5.77</v>
      </c>
      <c r="AK27" s="62">
        <v>0</v>
      </c>
    </row>
    <row r="28" spans="1:37" ht="15" customHeight="1">
      <c r="A28" s="56" t="s">
        <v>199</v>
      </c>
      <c r="B28" s="60" t="s">
        <v>200</v>
      </c>
      <c r="C28" s="61">
        <v>3.556</v>
      </c>
      <c r="D28" s="61">
        <v>3.556</v>
      </c>
      <c r="E28" s="61">
        <v>3.556</v>
      </c>
      <c r="F28" s="61">
        <v>3.556</v>
      </c>
      <c r="G28" s="61">
        <v>3.556</v>
      </c>
      <c r="H28" s="61">
        <v>3.556</v>
      </c>
      <c r="I28" s="61">
        <v>3.556</v>
      </c>
      <c r="J28" s="61">
        <v>3.556</v>
      </c>
      <c r="K28" s="61">
        <v>3.556</v>
      </c>
      <c r="L28" s="61">
        <v>3.556</v>
      </c>
      <c r="M28" s="61">
        <v>3.556</v>
      </c>
      <c r="N28" s="61">
        <v>3.556</v>
      </c>
      <c r="O28" s="61">
        <v>3.556</v>
      </c>
      <c r="P28" s="61">
        <v>3.556</v>
      </c>
      <c r="Q28" s="61">
        <v>3.556</v>
      </c>
      <c r="R28" s="61">
        <v>3.556</v>
      </c>
      <c r="S28" s="61">
        <v>3.556</v>
      </c>
      <c r="T28" s="61">
        <v>3.556</v>
      </c>
      <c r="U28" s="61">
        <v>3.556</v>
      </c>
      <c r="V28" s="61">
        <v>3.556</v>
      </c>
      <c r="W28" s="61">
        <v>3.556</v>
      </c>
      <c r="X28" s="61">
        <v>3.556</v>
      </c>
      <c r="Y28" s="61">
        <v>3.556</v>
      </c>
      <c r="Z28" s="61">
        <v>3.556</v>
      </c>
      <c r="AA28" s="61">
        <v>3.556</v>
      </c>
      <c r="AB28" s="61">
        <v>3.556</v>
      </c>
      <c r="AC28" s="61">
        <v>3.556</v>
      </c>
      <c r="AD28" s="61">
        <v>3.556</v>
      </c>
      <c r="AE28" s="61">
        <v>3.556</v>
      </c>
      <c r="AF28" s="61">
        <v>3.556</v>
      </c>
      <c r="AG28" s="61">
        <v>3.556</v>
      </c>
      <c r="AH28" s="61">
        <v>3.556</v>
      </c>
      <c r="AI28" s="61">
        <v>3.556</v>
      </c>
      <c r="AJ28" s="61">
        <v>3.556</v>
      </c>
      <c r="AK28" s="62">
        <v>0</v>
      </c>
    </row>
    <row r="29" spans="1:37" ht="15" customHeight="1">
      <c r="A29" s="56" t="s">
        <v>201</v>
      </c>
      <c r="B29" s="60" t="s">
        <v>202</v>
      </c>
      <c r="C29" s="61">
        <v>3.99722</v>
      </c>
      <c r="D29" s="61">
        <v>3.989233</v>
      </c>
      <c r="E29" s="61">
        <v>3.989233</v>
      </c>
      <c r="F29" s="61">
        <v>3.989233</v>
      </c>
      <c r="G29" s="61">
        <v>3.989233</v>
      </c>
      <c r="H29" s="61">
        <v>3.989233</v>
      </c>
      <c r="I29" s="61">
        <v>3.989233</v>
      </c>
      <c r="J29" s="61">
        <v>3.989233</v>
      </c>
      <c r="K29" s="61">
        <v>3.989233</v>
      </c>
      <c r="L29" s="61">
        <v>3.989233</v>
      </c>
      <c r="M29" s="61">
        <v>3.989233</v>
      </c>
      <c r="N29" s="61">
        <v>3.989233</v>
      </c>
      <c r="O29" s="61">
        <v>3.989233</v>
      </c>
      <c r="P29" s="61">
        <v>3.989233</v>
      </c>
      <c r="Q29" s="61">
        <v>3.989233</v>
      </c>
      <c r="R29" s="61">
        <v>3.989233</v>
      </c>
      <c r="S29" s="61">
        <v>3.989233</v>
      </c>
      <c r="T29" s="61">
        <v>3.989233</v>
      </c>
      <c r="U29" s="61">
        <v>3.989233</v>
      </c>
      <c r="V29" s="61">
        <v>3.989233</v>
      </c>
      <c r="W29" s="61">
        <v>3.989233</v>
      </c>
      <c r="X29" s="61">
        <v>3.989233</v>
      </c>
      <c r="Y29" s="61">
        <v>3.989233</v>
      </c>
      <c r="Z29" s="61">
        <v>3.989233</v>
      </c>
      <c r="AA29" s="61">
        <v>3.989233</v>
      </c>
      <c r="AB29" s="61">
        <v>3.989233</v>
      </c>
      <c r="AC29" s="61">
        <v>3.989233</v>
      </c>
      <c r="AD29" s="61">
        <v>3.989233</v>
      </c>
      <c r="AE29" s="61">
        <v>3.989233</v>
      </c>
      <c r="AF29" s="61">
        <v>3.989233</v>
      </c>
      <c r="AG29" s="61">
        <v>3.989233</v>
      </c>
      <c r="AH29" s="61">
        <v>3.989233</v>
      </c>
      <c r="AI29" s="61">
        <v>3.989233</v>
      </c>
      <c r="AJ29" s="61">
        <v>3.989233</v>
      </c>
      <c r="AK29" s="62">
        <v>0</v>
      </c>
    </row>
    <row r="30" spans="1:37" ht="15" customHeight="1">
      <c r="A30" s="56" t="s">
        <v>203</v>
      </c>
      <c r="B30" s="60" t="s">
        <v>204</v>
      </c>
      <c r="C30" s="61">
        <v>5.67</v>
      </c>
      <c r="D30" s="61">
        <v>5.67</v>
      </c>
      <c r="E30" s="61">
        <v>5.67</v>
      </c>
      <c r="F30" s="61">
        <v>5.67</v>
      </c>
      <c r="G30" s="61">
        <v>5.67</v>
      </c>
      <c r="H30" s="61">
        <v>5.67</v>
      </c>
      <c r="I30" s="61">
        <v>5.67</v>
      </c>
      <c r="J30" s="61">
        <v>5.67</v>
      </c>
      <c r="K30" s="61">
        <v>5.67</v>
      </c>
      <c r="L30" s="61">
        <v>5.67</v>
      </c>
      <c r="M30" s="61">
        <v>5.67</v>
      </c>
      <c r="N30" s="61">
        <v>5.67</v>
      </c>
      <c r="O30" s="61">
        <v>5.67</v>
      </c>
      <c r="P30" s="61">
        <v>5.67</v>
      </c>
      <c r="Q30" s="61">
        <v>5.67</v>
      </c>
      <c r="R30" s="61">
        <v>5.67</v>
      </c>
      <c r="S30" s="61">
        <v>5.67</v>
      </c>
      <c r="T30" s="61">
        <v>5.67</v>
      </c>
      <c r="U30" s="61">
        <v>5.67</v>
      </c>
      <c r="V30" s="61">
        <v>5.67</v>
      </c>
      <c r="W30" s="61">
        <v>5.67</v>
      </c>
      <c r="X30" s="61">
        <v>5.67</v>
      </c>
      <c r="Y30" s="61">
        <v>5.67</v>
      </c>
      <c r="Z30" s="61">
        <v>5.67</v>
      </c>
      <c r="AA30" s="61">
        <v>5.67</v>
      </c>
      <c r="AB30" s="61">
        <v>5.67</v>
      </c>
      <c r="AC30" s="61">
        <v>5.67</v>
      </c>
      <c r="AD30" s="61">
        <v>5.67</v>
      </c>
      <c r="AE30" s="61">
        <v>5.67</v>
      </c>
      <c r="AF30" s="61">
        <v>5.67</v>
      </c>
      <c r="AG30" s="61">
        <v>5.67</v>
      </c>
      <c r="AH30" s="61">
        <v>5.67</v>
      </c>
      <c r="AI30" s="61">
        <v>5.67</v>
      </c>
      <c r="AJ30" s="61">
        <v>5.67</v>
      </c>
      <c r="AK30" s="62">
        <v>0</v>
      </c>
    </row>
    <row r="31" spans="1:37" ht="15" customHeight="1">
      <c r="A31" s="56" t="s">
        <v>205</v>
      </c>
      <c r="B31" s="60" t="s">
        <v>206</v>
      </c>
      <c r="C31" s="61">
        <v>6.0650000000000004</v>
      </c>
      <c r="D31" s="61">
        <v>6.0650000000000004</v>
      </c>
      <c r="E31" s="61">
        <v>6.0650000000000004</v>
      </c>
      <c r="F31" s="61">
        <v>6.0650000000000004</v>
      </c>
      <c r="G31" s="61">
        <v>6.0650000000000004</v>
      </c>
      <c r="H31" s="61">
        <v>6.0650000000000004</v>
      </c>
      <c r="I31" s="61">
        <v>6.0650000000000004</v>
      </c>
      <c r="J31" s="61">
        <v>6.0650000000000004</v>
      </c>
      <c r="K31" s="61">
        <v>6.0650000000000004</v>
      </c>
      <c r="L31" s="61">
        <v>6.0650000000000004</v>
      </c>
      <c r="M31" s="61">
        <v>6.0650000000000004</v>
      </c>
      <c r="N31" s="61">
        <v>6.0650000000000004</v>
      </c>
      <c r="O31" s="61">
        <v>6.0650000000000004</v>
      </c>
      <c r="P31" s="61">
        <v>6.0650000000000004</v>
      </c>
      <c r="Q31" s="61">
        <v>6.0650000000000004</v>
      </c>
      <c r="R31" s="61">
        <v>6.0650000000000004</v>
      </c>
      <c r="S31" s="61">
        <v>6.0650000000000004</v>
      </c>
      <c r="T31" s="61">
        <v>6.0650000000000004</v>
      </c>
      <c r="U31" s="61">
        <v>6.0650000000000004</v>
      </c>
      <c r="V31" s="61">
        <v>6.0650000000000004</v>
      </c>
      <c r="W31" s="61">
        <v>6.0650000000000004</v>
      </c>
      <c r="X31" s="61">
        <v>6.0650000000000004</v>
      </c>
      <c r="Y31" s="61">
        <v>6.0650000000000004</v>
      </c>
      <c r="Z31" s="61">
        <v>6.0650000000000004</v>
      </c>
      <c r="AA31" s="61">
        <v>6.0650000000000004</v>
      </c>
      <c r="AB31" s="61">
        <v>6.0650000000000004</v>
      </c>
      <c r="AC31" s="61">
        <v>6.0650000000000004</v>
      </c>
      <c r="AD31" s="61">
        <v>6.0650000000000004</v>
      </c>
      <c r="AE31" s="61">
        <v>6.0650000000000004</v>
      </c>
      <c r="AF31" s="61">
        <v>6.0650000000000004</v>
      </c>
      <c r="AG31" s="61">
        <v>6.0650000000000004</v>
      </c>
      <c r="AH31" s="61">
        <v>6.0650000000000004</v>
      </c>
      <c r="AI31" s="61">
        <v>6.0650000000000004</v>
      </c>
      <c r="AJ31" s="61">
        <v>6.0650000000000004</v>
      </c>
      <c r="AK31" s="62">
        <v>0</v>
      </c>
    </row>
    <row r="32" spans="1:37" ht="15" customHeight="1">
      <c r="A32" s="56" t="s">
        <v>207</v>
      </c>
      <c r="B32" s="60" t="s">
        <v>208</v>
      </c>
      <c r="C32" s="61">
        <v>5.0566430000000002</v>
      </c>
      <c r="D32" s="61">
        <v>5.0552599999999996</v>
      </c>
      <c r="E32" s="61">
        <v>5.0559250000000002</v>
      </c>
      <c r="F32" s="61">
        <v>5.0562699999999996</v>
      </c>
      <c r="G32" s="61">
        <v>5.0553610000000004</v>
      </c>
      <c r="H32" s="61">
        <v>5.0533359999999998</v>
      </c>
      <c r="I32" s="61">
        <v>5.0508160000000002</v>
      </c>
      <c r="J32" s="61">
        <v>5.0500020000000001</v>
      </c>
      <c r="K32" s="61">
        <v>5.0494789999999998</v>
      </c>
      <c r="L32" s="61">
        <v>5.049067</v>
      </c>
      <c r="M32" s="61">
        <v>5.0486199999999997</v>
      </c>
      <c r="N32" s="61">
        <v>5.0481860000000003</v>
      </c>
      <c r="O32" s="61">
        <v>5.047752</v>
      </c>
      <c r="P32" s="61">
        <v>5.0478269999999998</v>
      </c>
      <c r="Q32" s="61">
        <v>5.0471120000000003</v>
      </c>
      <c r="R32" s="61">
        <v>5.0467120000000003</v>
      </c>
      <c r="S32" s="61">
        <v>5.0464640000000003</v>
      </c>
      <c r="T32" s="61">
        <v>5.0458769999999999</v>
      </c>
      <c r="U32" s="61">
        <v>5.0451860000000002</v>
      </c>
      <c r="V32" s="61">
        <v>5.0444300000000002</v>
      </c>
      <c r="W32" s="61">
        <v>5.0435809999999996</v>
      </c>
      <c r="X32" s="61">
        <v>5.0427549999999997</v>
      </c>
      <c r="Y32" s="61">
        <v>5.0416879999999997</v>
      </c>
      <c r="Z32" s="61">
        <v>5.0404980000000004</v>
      </c>
      <c r="AA32" s="61">
        <v>5.0391599999999999</v>
      </c>
      <c r="AB32" s="61">
        <v>5.0378670000000003</v>
      </c>
      <c r="AC32" s="61">
        <v>5.0362239999999998</v>
      </c>
      <c r="AD32" s="61">
        <v>5.0346019999999996</v>
      </c>
      <c r="AE32" s="61">
        <v>5.0328730000000004</v>
      </c>
      <c r="AF32" s="61">
        <v>5.030945</v>
      </c>
      <c r="AG32" s="61">
        <v>5.0285479999999998</v>
      </c>
      <c r="AH32" s="61">
        <v>5.0259179999999999</v>
      </c>
      <c r="AI32" s="61">
        <v>5.0230379999999997</v>
      </c>
      <c r="AJ32" s="61">
        <v>5.0230360000000003</v>
      </c>
      <c r="AK32" s="62">
        <v>-2.0000000000000001E-4</v>
      </c>
    </row>
    <row r="33" spans="1:37" ht="15" customHeight="1">
      <c r="A33" s="56" t="s">
        <v>209</v>
      </c>
      <c r="B33" s="60" t="s">
        <v>210</v>
      </c>
      <c r="C33" s="61">
        <v>5.0566430000000002</v>
      </c>
      <c r="D33" s="61">
        <v>5.0551199999999996</v>
      </c>
      <c r="E33" s="61">
        <v>5.0557509999999999</v>
      </c>
      <c r="F33" s="61">
        <v>5.0561759999999998</v>
      </c>
      <c r="G33" s="61">
        <v>5.0552270000000004</v>
      </c>
      <c r="H33" s="61">
        <v>5.0532529999999998</v>
      </c>
      <c r="I33" s="61">
        <v>5.0502339999999997</v>
      </c>
      <c r="J33" s="61">
        <v>5.0493699999999997</v>
      </c>
      <c r="K33" s="61">
        <v>5.0488210000000002</v>
      </c>
      <c r="L33" s="61">
        <v>5.0483820000000001</v>
      </c>
      <c r="M33" s="61">
        <v>5.0479039999999999</v>
      </c>
      <c r="N33" s="61">
        <v>5.0474410000000001</v>
      </c>
      <c r="O33" s="61">
        <v>5.046983</v>
      </c>
      <c r="P33" s="61">
        <v>5.0470750000000004</v>
      </c>
      <c r="Q33" s="61">
        <v>5.0462990000000003</v>
      </c>
      <c r="R33" s="61">
        <v>5.0458439999999998</v>
      </c>
      <c r="S33" s="61">
        <v>5.0455509999999997</v>
      </c>
      <c r="T33" s="61">
        <v>5.044918</v>
      </c>
      <c r="U33" s="61">
        <v>5.0441839999999996</v>
      </c>
      <c r="V33" s="61">
        <v>5.0433690000000002</v>
      </c>
      <c r="W33" s="61">
        <v>5.0424530000000001</v>
      </c>
      <c r="X33" s="61">
        <v>5.041563</v>
      </c>
      <c r="Y33" s="61">
        <v>5.0404109999999998</v>
      </c>
      <c r="Z33" s="61">
        <v>5.0391269999999997</v>
      </c>
      <c r="AA33" s="61">
        <v>5.0376839999999996</v>
      </c>
      <c r="AB33" s="61">
        <v>5.0362900000000002</v>
      </c>
      <c r="AC33" s="61">
        <v>5.0345170000000001</v>
      </c>
      <c r="AD33" s="61">
        <v>5.0328030000000004</v>
      </c>
      <c r="AE33" s="61">
        <v>5.0309910000000002</v>
      </c>
      <c r="AF33" s="61">
        <v>5.0289089999999996</v>
      </c>
      <c r="AG33" s="61">
        <v>5.0263140000000002</v>
      </c>
      <c r="AH33" s="61">
        <v>5.0234719999999999</v>
      </c>
      <c r="AI33" s="61">
        <v>5.020365</v>
      </c>
      <c r="AJ33" s="61">
        <v>5.0203639999999998</v>
      </c>
      <c r="AK33" s="62">
        <v>-2.1599999999999999E-4</v>
      </c>
    </row>
    <row r="34" spans="1:37" ht="15" customHeight="1">
      <c r="A34" s="56" t="s">
        <v>211</v>
      </c>
      <c r="B34" s="60" t="s">
        <v>212</v>
      </c>
      <c r="C34" s="61">
        <v>5.0566430000000002</v>
      </c>
      <c r="D34" s="61">
        <v>5.0550290000000002</v>
      </c>
      <c r="E34" s="61">
        <v>5.0560859999999996</v>
      </c>
      <c r="F34" s="61">
        <v>5.0563630000000002</v>
      </c>
      <c r="G34" s="61">
        <v>5.0551620000000002</v>
      </c>
      <c r="H34" s="61">
        <v>5.0521120000000002</v>
      </c>
      <c r="I34" s="61">
        <v>5.0499099999999997</v>
      </c>
      <c r="J34" s="61">
        <v>5.0489660000000001</v>
      </c>
      <c r="K34" s="61">
        <v>5.0484030000000004</v>
      </c>
      <c r="L34" s="61">
        <v>5.0479479999999999</v>
      </c>
      <c r="M34" s="61">
        <v>5.0474509999999997</v>
      </c>
      <c r="N34" s="61">
        <v>5.04697</v>
      </c>
      <c r="O34" s="61">
        <v>5.0464979999999997</v>
      </c>
      <c r="P34" s="61">
        <v>5.046602</v>
      </c>
      <c r="Q34" s="61">
        <v>5.0458410000000002</v>
      </c>
      <c r="R34" s="61">
        <v>5.0454929999999996</v>
      </c>
      <c r="S34" s="61">
        <v>5.0453320000000001</v>
      </c>
      <c r="T34" s="61">
        <v>5.0447139999999999</v>
      </c>
      <c r="U34" s="61">
        <v>5.0439569999999998</v>
      </c>
      <c r="V34" s="61">
        <v>5.0431090000000003</v>
      </c>
      <c r="W34" s="61">
        <v>5.0421550000000002</v>
      </c>
      <c r="X34" s="61">
        <v>5.041226</v>
      </c>
      <c r="Y34" s="61">
        <v>5.0400229999999997</v>
      </c>
      <c r="Z34" s="61">
        <v>5.0386810000000004</v>
      </c>
      <c r="AA34" s="61">
        <v>5.0371740000000003</v>
      </c>
      <c r="AB34" s="61">
        <v>5.035717</v>
      </c>
      <c r="AC34" s="61">
        <v>5.0338620000000001</v>
      </c>
      <c r="AD34" s="61">
        <v>5.0319269999999996</v>
      </c>
      <c r="AE34" s="61">
        <v>5.029827</v>
      </c>
      <c r="AF34" s="61">
        <v>5.0276490000000003</v>
      </c>
      <c r="AG34" s="61">
        <v>5.0249329999999999</v>
      </c>
      <c r="AH34" s="61">
        <v>5.0219589999999998</v>
      </c>
      <c r="AI34" s="61">
        <v>5.018713</v>
      </c>
      <c r="AJ34" s="61">
        <v>5.018713</v>
      </c>
      <c r="AK34" s="62">
        <v>-2.2499999999999999E-4</v>
      </c>
    </row>
    <row r="35" spans="1:37" ht="15" customHeight="1">
      <c r="A35" s="56" t="s">
        <v>213</v>
      </c>
      <c r="B35" s="60" t="s">
        <v>214</v>
      </c>
      <c r="C35" s="61">
        <v>5.2222799999999996</v>
      </c>
      <c r="D35" s="61">
        <v>5.2222799999999996</v>
      </c>
      <c r="E35" s="61">
        <v>5.2222799999999996</v>
      </c>
      <c r="F35" s="61">
        <v>5.2222799999999996</v>
      </c>
      <c r="G35" s="61">
        <v>5.2222799999999996</v>
      </c>
      <c r="H35" s="61">
        <v>5.2222799999999996</v>
      </c>
      <c r="I35" s="61">
        <v>5.2222799999999996</v>
      </c>
      <c r="J35" s="61">
        <v>5.2222799999999996</v>
      </c>
      <c r="K35" s="61">
        <v>5.2222799999999996</v>
      </c>
      <c r="L35" s="61">
        <v>5.2222799999999996</v>
      </c>
      <c r="M35" s="61">
        <v>5.2222799999999996</v>
      </c>
      <c r="N35" s="61">
        <v>5.2222799999999996</v>
      </c>
      <c r="O35" s="61">
        <v>5.2222799999999996</v>
      </c>
      <c r="P35" s="61">
        <v>5.2222799999999996</v>
      </c>
      <c r="Q35" s="61">
        <v>5.2222799999999996</v>
      </c>
      <c r="R35" s="61">
        <v>5.2222799999999996</v>
      </c>
      <c r="S35" s="61">
        <v>5.2222799999999996</v>
      </c>
      <c r="T35" s="61">
        <v>5.2222799999999996</v>
      </c>
      <c r="U35" s="61">
        <v>5.2222799999999996</v>
      </c>
      <c r="V35" s="61">
        <v>5.2222799999999996</v>
      </c>
      <c r="W35" s="61">
        <v>5.2222799999999996</v>
      </c>
      <c r="X35" s="61">
        <v>5.2222799999999996</v>
      </c>
      <c r="Y35" s="61">
        <v>5.2222799999999996</v>
      </c>
      <c r="Z35" s="61">
        <v>5.2222799999999996</v>
      </c>
      <c r="AA35" s="61">
        <v>5.2222799999999996</v>
      </c>
      <c r="AB35" s="61">
        <v>5.2222799999999996</v>
      </c>
      <c r="AC35" s="61">
        <v>5.2222799999999996</v>
      </c>
      <c r="AD35" s="61">
        <v>5.2222799999999996</v>
      </c>
      <c r="AE35" s="61">
        <v>5.2222799999999996</v>
      </c>
      <c r="AF35" s="61">
        <v>5.2222799999999996</v>
      </c>
      <c r="AG35" s="61">
        <v>5.2222799999999996</v>
      </c>
      <c r="AH35" s="61">
        <v>5.2222799999999996</v>
      </c>
      <c r="AI35" s="61">
        <v>5.2222799999999996</v>
      </c>
      <c r="AJ35" s="61">
        <v>5.2222799999999996</v>
      </c>
      <c r="AK35" s="62">
        <v>0</v>
      </c>
    </row>
    <row r="36" spans="1:37" ht="15" customHeight="1">
      <c r="A36" s="56" t="s">
        <v>215</v>
      </c>
      <c r="B36" s="60" t="s">
        <v>216</v>
      </c>
      <c r="C36" s="61">
        <v>5.2222799999999996</v>
      </c>
      <c r="D36" s="61">
        <v>5.2222799999999996</v>
      </c>
      <c r="E36" s="61">
        <v>5.2222799999999996</v>
      </c>
      <c r="F36" s="61">
        <v>5.2222799999999996</v>
      </c>
      <c r="G36" s="61">
        <v>5.2222799999999996</v>
      </c>
      <c r="H36" s="61">
        <v>5.2222799999999996</v>
      </c>
      <c r="I36" s="61">
        <v>5.2222799999999996</v>
      </c>
      <c r="J36" s="61">
        <v>5.2222799999999996</v>
      </c>
      <c r="K36" s="61">
        <v>5.2222799999999996</v>
      </c>
      <c r="L36" s="61">
        <v>5.2222799999999996</v>
      </c>
      <c r="M36" s="61">
        <v>5.2222799999999996</v>
      </c>
      <c r="N36" s="61">
        <v>5.2222799999999996</v>
      </c>
      <c r="O36" s="61">
        <v>5.2222799999999996</v>
      </c>
      <c r="P36" s="61">
        <v>5.2222799999999996</v>
      </c>
      <c r="Q36" s="61">
        <v>5.2222799999999996</v>
      </c>
      <c r="R36" s="61">
        <v>5.2222799999999996</v>
      </c>
      <c r="S36" s="61">
        <v>5.2222799999999996</v>
      </c>
      <c r="T36" s="61">
        <v>5.2222799999999996</v>
      </c>
      <c r="U36" s="61">
        <v>5.2222799999999996</v>
      </c>
      <c r="V36" s="61">
        <v>5.2222799999999996</v>
      </c>
      <c r="W36" s="61">
        <v>5.2222799999999996</v>
      </c>
      <c r="X36" s="61">
        <v>5.2222799999999996</v>
      </c>
      <c r="Y36" s="61">
        <v>5.2222799999999996</v>
      </c>
      <c r="Z36" s="61">
        <v>5.2222799999999996</v>
      </c>
      <c r="AA36" s="61">
        <v>5.2222799999999996</v>
      </c>
      <c r="AB36" s="61">
        <v>5.2222799999999996</v>
      </c>
      <c r="AC36" s="61">
        <v>5.2222799999999996</v>
      </c>
      <c r="AD36" s="61">
        <v>5.2222799999999996</v>
      </c>
      <c r="AE36" s="61">
        <v>5.2222799999999996</v>
      </c>
      <c r="AF36" s="61">
        <v>5.2222799999999996</v>
      </c>
      <c r="AG36" s="61">
        <v>5.2222799999999996</v>
      </c>
      <c r="AH36" s="61">
        <v>5.2222799999999996</v>
      </c>
      <c r="AI36" s="61">
        <v>5.2222799999999996</v>
      </c>
      <c r="AJ36" s="61">
        <v>5.2222799999999996</v>
      </c>
      <c r="AK36" s="62">
        <v>0</v>
      </c>
    </row>
    <row r="37" spans="1:37" ht="15" customHeight="1">
      <c r="A37" s="56" t="s">
        <v>217</v>
      </c>
      <c r="B37" s="60" t="s">
        <v>218</v>
      </c>
      <c r="C37" s="61">
        <v>4.62</v>
      </c>
      <c r="D37" s="61">
        <v>4.62</v>
      </c>
      <c r="E37" s="61">
        <v>4.62</v>
      </c>
      <c r="F37" s="61">
        <v>4.62</v>
      </c>
      <c r="G37" s="61">
        <v>4.62</v>
      </c>
      <c r="H37" s="61">
        <v>4.62</v>
      </c>
      <c r="I37" s="61">
        <v>4.62</v>
      </c>
      <c r="J37" s="61">
        <v>4.62</v>
      </c>
      <c r="K37" s="61">
        <v>4.62</v>
      </c>
      <c r="L37" s="61">
        <v>4.62</v>
      </c>
      <c r="M37" s="61">
        <v>4.62</v>
      </c>
      <c r="N37" s="61">
        <v>4.62</v>
      </c>
      <c r="O37" s="61">
        <v>4.62</v>
      </c>
      <c r="P37" s="61">
        <v>4.62</v>
      </c>
      <c r="Q37" s="61">
        <v>4.62</v>
      </c>
      <c r="R37" s="61">
        <v>4.62</v>
      </c>
      <c r="S37" s="61">
        <v>4.62</v>
      </c>
      <c r="T37" s="61">
        <v>4.62</v>
      </c>
      <c r="U37" s="61">
        <v>4.62</v>
      </c>
      <c r="V37" s="61">
        <v>4.62</v>
      </c>
      <c r="W37" s="61">
        <v>4.62</v>
      </c>
      <c r="X37" s="61">
        <v>4.62</v>
      </c>
      <c r="Y37" s="61">
        <v>4.62</v>
      </c>
      <c r="Z37" s="61">
        <v>4.62</v>
      </c>
      <c r="AA37" s="61">
        <v>4.62</v>
      </c>
      <c r="AB37" s="61">
        <v>4.62</v>
      </c>
      <c r="AC37" s="61">
        <v>4.62</v>
      </c>
      <c r="AD37" s="61">
        <v>4.62</v>
      </c>
      <c r="AE37" s="61">
        <v>4.62</v>
      </c>
      <c r="AF37" s="61">
        <v>4.62</v>
      </c>
      <c r="AG37" s="61">
        <v>4.62</v>
      </c>
      <c r="AH37" s="61">
        <v>4.62</v>
      </c>
      <c r="AI37" s="61">
        <v>4.62</v>
      </c>
      <c r="AJ37" s="61">
        <v>4.62</v>
      </c>
      <c r="AK37" s="62">
        <v>0</v>
      </c>
    </row>
    <row r="38" spans="1:37" ht="15" customHeight="1">
      <c r="A38" s="56" t="s">
        <v>219</v>
      </c>
      <c r="B38" s="60" t="s">
        <v>220</v>
      </c>
      <c r="C38" s="61">
        <v>5.8</v>
      </c>
      <c r="D38" s="61">
        <v>5.8</v>
      </c>
      <c r="E38" s="61">
        <v>5.8</v>
      </c>
      <c r="F38" s="61">
        <v>5.8</v>
      </c>
      <c r="G38" s="61">
        <v>5.8</v>
      </c>
      <c r="H38" s="61">
        <v>5.8</v>
      </c>
      <c r="I38" s="61">
        <v>5.8</v>
      </c>
      <c r="J38" s="61">
        <v>5.8</v>
      </c>
      <c r="K38" s="61">
        <v>5.8</v>
      </c>
      <c r="L38" s="61">
        <v>5.8</v>
      </c>
      <c r="M38" s="61">
        <v>5.8</v>
      </c>
      <c r="N38" s="61">
        <v>5.8</v>
      </c>
      <c r="O38" s="61">
        <v>5.8</v>
      </c>
      <c r="P38" s="61">
        <v>5.8</v>
      </c>
      <c r="Q38" s="61">
        <v>5.8</v>
      </c>
      <c r="R38" s="61">
        <v>5.8</v>
      </c>
      <c r="S38" s="61">
        <v>5.8</v>
      </c>
      <c r="T38" s="61">
        <v>5.8</v>
      </c>
      <c r="U38" s="61">
        <v>5.8</v>
      </c>
      <c r="V38" s="61">
        <v>5.8</v>
      </c>
      <c r="W38" s="61">
        <v>5.8</v>
      </c>
      <c r="X38" s="61">
        <v>5.8</v>
      </c>
      <c r="Y38" s="61">
        <v>5.8</v>
      </c>
      <c r="Z38" s="61">
        <v>5.8</v>
      </c>
      <c r="AA38" s="61">
        <v>5.8</v>
      </c>
      <c r="AB38" s="61">
        <v>5.8</v>
      </c>
      <c r="AC38" s="61">
        <v>5.8</v>
      </c>
      <c r="AD38" s="61">
        <v>5.8</v>
      </c>
      <c r="AE38" s="61">
        <v>5.8</v>
      </c>
      <c r="AF38" s="61">
        <v>5.8</v>
      </c>
      <c r="AG38" s="61">
        <v>5.8</v>
      </c>
      <c r="AH38" s="61">
        <v>5.8</v>
      </c>
      <c r="AI38" s="61">
        <v>5.8</v>
      </c>
      <c r="AJ38" s="61">
        <v>5.8</v>
      </c>
      <c r="AK38" s="62">
        <v>0</v>
      </c>
    </row>
    <row r="39" spans="1:37" ht="15" customHeight="1">
      <c r="A39" s="56" t="s">
        <v>221</v>
      </c>
      <c r="B39" s="60" t="s">
        <v>222</v>
      </c>
      <c r="C39" s="61">
        <v>5.4510759999999996</v>
      </c>
      <c r="D39" s="61">
        <v>5.4510759999999996</v>
      </c>
      <c r="E39" s="61">
        <v>5.4510759999999996</v>
      </c>
      <c r="F39" s="61">
        <v>5.4510759999999996</v>
      </c>
      <c r="G39" s="61">
        <v>5.4510759999999996</v>
      </c>
      <c r="H39" s="61">
        <v>5.4510759999999996</v>
      </c>
      <c r="I39" s="61">
        <v>5.4510759999999996</v>
      </c>
      <c r="J39" s="61">
        <v>5.4510759999999996</v>
      </c>
      <c r="K39" s="61">
        <v>5.4510759999999996</v>
      </c>
      <c r="L39" s="61">
        <v>5.4510759999999996</v>
      </c>
      <c r="M39" s="61">
        <v>5.4510759999999996</v>
      </c>
      <c r="N39" s="61">
        <v>5.4510759999999996</v>
      </c>
      <c r="O39" s="61">
        <v>5.4510759999999996</v>
      </c>
      <c r="P39" s="61">
        <v>5.4510759999999996</v>
      </c>
      <c r="Q39" s="61">
        <v>5.4510759999999996</v>
      </c>
      <c r="R39" s="61">
        <v>5.4510759999999996</v>
      </c>
      <c r="S39" s="61">
        <v>5.4510759999999996</v>
      </c>
      <c r="T39" s="61">
        <v>5.4510759999999996</v>
      </c>
      <c r="U39" s="61">
        <v>5.4510759999999996</v>
      </c>
      <c r="V39" s="61">
        <v>5.4510759999999996</v>
      </c>
      <c r="W39" s="61">
        <v>5.4510759999999996</v>
      </c>
      <c r="X39" s="61">
        <v>5.4510759999999996</v>
      </c>
      <c r="Y39" s="61">
        <v>5.4510759999999996</v>
      </c>
      <c r="Z39" s="61">
        <v>5.4510759999999996</v>
      </c>
      <c r="AA39" s="61">
        <v>5.4510759999999996</v>
      </c>
      <c r="AB39" s="61">
        <v>5.4510759999999996</v>
      </c>
      <c r="AC39" s="61">
        <v>5.4510759999999996</v>
      </c>
      <c r="AD39" s="61">
        <v>5.4510759999999996</v>
      </c>
      <c r="AE39" s="61">
        <v>5.4510759999999996</v>
      </c>
      <c r="AF39" s="61">
        <v>5.4510759999999996</v>
      </c>
      <c r="AG39" s="61">
        <v>5.4510759999999996</v>
      </c>
      <c r="AH39" s="61">
        <v>5.4510759999999996</v>
      </c>
      <c r="AI39" s="61">
        <v>5.4510759999999996</v>
      </c>
      <c r="AJ39" s="61">
        <v>5.4510759999999996</v>
      </c>
      <c r="AK39" s="62">
        <v>0</v>
      </c>
    </row>
    <row r="40" spans="1:37" ht="15" customHeight="1">
      <c r="A40" s="56" t="s">
        <v>223</v>
      </c>
      <c r="B40" s="60" t="s">
        <v>224</v>
      </c>
      <c r="C40" s="61">
        <v>6.2869999999999999</v>
      </c>
      <c r="D40" s="61">
        <v>6.2869999999999999</v>
      </c>
      <c r="E40" s="61">
        <v>6.2869999999999999</v>
      </c>
      <c r="F40" s="61">
        <v>6.2869999999999999</v>
      </c>
      <c r="G40" s="61">
        <v>6.2869999999999999</v>
      </c>
      <c r="H40" s="61">
        <v>6.2869999999999999</v>
      </c>
      <c r="I40" s="61">
        <v>6.2869999999999999</v>
      </c>
      <c r="J40" s="61">
        <v>6.2869999999999999</v>
      </c>
      <c r="K40" s="61">
        <v>6.2869999999999999</v>
      </c>
      <c r="L40" s="61">
        <v>6.2869999999999999</v>
      </c>
      <c r="M40" s="61">
        <v>6.2869999999999999</v>
      </c>
      <c r="N40" s="61">
        <v>6.2869999999999999</v>
      </c>
      <c r="O40" s="61">
        <v>6.2869999999999999</v>
      </c>
      <c r="P40" s="61">
        <v>6.2869999999999999</v>
      </c>
      <c r="Q40" s="61">
        <v>6.2869999999999999</v>
      </c>
      <c r="R40" s="61">
        <v>6.2869999999999999</v>
      </c>
      <c r="S40" s="61">
        <v>6.2869999999999999</v>
      </c>
      <c r="T40" s="61">
        <v>6.2869999999999999</v>
      </c>
      <c r="U40" s="61">
        <v>6.2869999999999999</v>
      </c>
      <c r="V40" s="61">
        <v>6.2869999999999999</v>
      </c>
      <c r="W40" s="61">
        <v>6.2869999999999999</v>
      </c>
      <c r="X40" s="61">
        <v>6.2869999999999999</v>
      </c>
      <c r="Y40" s="61">
        <v>6.2869999999999999</v>
      </c>
      <c r="Z40" s="61">
        <v>6.2869999999999999</v>
      </c>
      <c r="AA40" s="61">
        <v>6.2869999999999999</v>
      </c>
      <c r="AB40" s="61">
        <v>6.2869999999999999</v>
      </c>
      <c r="AC40" s="61">
        <v>6.2869999999999999</v>
      </c>
      <c r="AD40" s="61">
        <v>6.2869999999999999</v>
      </c>
      <c r="AE40" s="61">
        <v>6.2869999999999999</v>
      </c>
      <c r="AF40" s="61">
        <v>6.2869999999999999</v>
      </c>
      <c r="AG40" s="61">
        <v>6.2869999999999999</v>
      </c>
      <c r="AH40" s="61">
        <v>6.2869999999999999</v>
      </c>
      <c r="AI40" s="61">
        <v>6.2869999999999999</v>
      </c>
      <c r="AJ40" s="61">
        <v>6.2869999999999999</v>
      </c>
      <c r="AK40" s="62">
        <v>0</v>
      </c>
    </row>
    <row r="41" spans="1:37" ht="15" customHeight="1">
      <c r="A41" s="56" t="s">
        <v>225</v>
      </c>
      <c r="B41" s="60" t="s">
        <v>226</v>
      </c>
      <c r="C41" s="61">
        <v>6.2869999999999999</v>
      </c>
      <c r="D41" s="61">
        <v>6.2869999999999999</v>
      </c>
      <c r="E41" s="61">
        <v>6.2869999999999999</v>
      </c>
      <c r="F41" s="61">
        <v>6.2869999999999999</v>
      </c>
      <c r="G41" s="61">
        <v>6.2869999999999999</v>
      </c>
      <c r="H41" s="61">
        <v>6.2869999999999999</v>
      </c>
      <c r="I41" s="61">
        <v>6.2869999999999999</v>
      </c>
      <c r="J41" s="61">
        <v>6.2869999999999999</v>
      </c>
      <c r="K41" s="61">
        <v>6.2869999999999999</v>
      </c>
      <c r="L41" s="61">
        <v>6.2869999999999999</v>
      </c>
      <c r="M41" s="61">
        <v>6.2869999999999999</v>
      </c>
      <c r="N41" s="61">
        <v>6.2869999999999999</v>
      </c>
      <c r="O41" s="61">
        <v>6.2869999999999999</v>
      </c>
      <c r="P41" s="61">
        <v>6.2869999999999999</v>
      </c>
      <c r="Q41" s="61">
        <v>6.2869999999999999</v>
      </c>
      <c r="R41" s="61">
        <v>6.2869999999999999</v>
      </c>
      <c r="S41" s="61">
        <v>6.2869999999999999</v>
      </c>
      <c r="T41" s="61">
        <v>6.2869999999999999</v>
      </c>
      <c r="U41" s="61">
        <v>6.2869999999999999</v>
      </c>
      <c r="V41" s="61">
        <v>6.2869999999999999</v>
      </c>
      <c r="W41" s="61">
        <v>6.2869999999999999</v>
      </c>
      <c r="X41" s="61">
        <v>6.2869999999999999</v>
      </c>
      <c r="Y41" s="61">
        <v>6.2869999999999999</v>
      </c>
      <c r="Z41" s="61">
        <v>6.2869999999999999</v>
      </c>
      <c r="AA41" s="61">
        <v>6.2869999999999999</v>
      </c>
      <c r="AB41" s="61">
        <v>6.2869999999999999</v>
      </c>
      <c r="AC41" s="61">
        <v>6.2869999999999999</v>
      </c>
      <c r="AD41" s="61">
        <v>6.2869999999999999</v>
      </c>
      <c r="AE41" s="61">
        <v>6.2869999999999999</v>
      </c>
      <c r="AF41" s="61">
        <v>6.2869999999999999</v>
      </c>
      <c r="AG41" s="61">
        <v>6.2869999999999999</v>
      </c>
      <c r="AH41" s="61">
        <v>6.2869999999999999</v>
      </c>
      <c r="AI41" s="61">
        <v>6.2869999999999999</v>
      </c>
      <c r="AJ41" s="61">
        <v>6.2869999999999999</v>
      </c>
      <c r="AK41" s="62">
        <v>0</v>
      </c>
    </row>
    <row r="42" spans="1:37" ht="15" customHeight="1">
      <c r="A42" s="56" t="s">
        <v>227</v>
      </c>
      <c r="B42" s="60" t="s">
        <v>228</v>
      </c>
      <c r="C42" s="61">
        <v>6.2869999999999999</v>
      </c>
      <c r="D42" s="61">
        <v>6.2869999999999999</v>
      </c>
      <c r="E42" s="61">
        <v>6.2869999999999999</v>
      </c>
      <c r="F42" s="61">
        <v>6.2869999999999999</v>
      </c>
      <c r="G42" s="61">
        <v>6.2869999999999999</v>
      </c>
      <c r="H42" s="61">
        <v>6.2869999999999999</v>
      </c>
      <c r="I42" s="61">
        <v>6.2869999999999999</v>
      </c>
      <c r="J42" s="61">
        <v>6.2869999999999999</v>
      </c>
      <c r="K42" s="61">
        <v>6.2869999999999999</v>
      </c>
      <c r="L42" s="61">
        <v>6.2869999999999999</v>
      </c>
      <c r="M42" s="61">
        <v>6.2869999999999999</v>
      </c>
      <c r="N42" s="61">
        <v>6.2869999999999999</v>
      </c>
      <c r="O42" s="61">
        <v>6.2869999999999999</v>
      </c>
      <c r="P42" s="61">
        <v>6.2869999999999999</v>
      </c>
      <c r="Q42" s="61">
        <v>6.2869999999999999</v>
      </c>
      <c r="R42" s="61">
        <v>6.2869999999999999</v>
      </c>
      <c r="S42" s="61">
        <v>6.2869999999999999</v>
      </c>
      <c r="T42" s="61">
        <v>6.2869999999999999</v>
      </c>
      <c r="U42" s="61">
        <v>6.2869999999999999</v>
      </c>
      <c r="V42" s="61">
        <v>6.2869999999999999</v>
      </c>
      <c r="W42" s="61">
        <v>6.2869999999999999</v>
      </c>
      <c r="X42" s="61">
        <v>6.2869999999999999</v>
      </c>
      <c r="Y42" s="61">
        <v>6.2869999999999999</v>
      </c>
      <c r="Z42" s="61">
        <v>6.2869999999999999</v>
      </c>
      <c r="AA42" s="61">
        <v>6.2869999999999999</v>
      </c>
      <c r="AB42" s="61">
        <v>6.2869999999999999</v>
      </c>
      <c r="AC42" s="61">
        <v>6.2869999999999999</v>
      </c>
      <c r="AD42" s="61">
        <v>6.2869999999999999</v>
      </c>
      <c r="AE42" s="61">
        <v>6.2869999999999999</v>
      </c>
      <c r="AF42" s="61">
        <v>6.2869999999999999</v>
      </c>
      <c r="AG42" s="61">
        <v>6.2869999999999999</v>
      </c>
      <c r="AH42" s="61">
        <v>6.2869999999999999</v>
      </c>
      <c r="AI42" s="61">
        <v>6.2869999999999999</v>
      </c>
      <c r="AJ42" s="61">
        <v>6.2869999999999999</v>
      </c>
      <c r="AK42" s="62">
        <v>0</v>
      </c>
    </row>
    <row r="43" spans="1:37" ht="15" customHeight="1">
      <c r="A43" s="56" t="s">
        <v>229</v>
      </c>
      <c r="B43" s="60" t="s">
        <v>230</v>
      </c>
      <c r="C43" s="61">
        <v>6.1473459999999998</v>
      </c>
      <c r="D43" s="61">
        <v>6.1452260000000001</v>
      </c>
      <c r="E43" s="61">
        <v>6.1456169999999997</v>
      </c>
      <c r="F43" s="61">
        <v>6.192609</v>
      </c>
      <c r="G43" s="61">
        <v>6.1871369999999999</v>
      </c>
      <c r="H43" s="61">
        <v>6.1839120000000003</v>
      </c>
      <c r="I43" s="61">
        <v>6.177295</v>
      </c>
      <c r="J43" s="61">
        <v>6.1706190000000003</v>
      </c>
      <c r="K43" s="61">
        <v>6.1645000000000003</v>
      </c>
      <c r="L43" s="61">
        <v>6.1563090000000003</v>
      </c>
      <c r="M43" s="61">
        <v>6.1576269999999997</v>
      </c>
      <c r="N43" s="61">
        <v>6.157673</v>
      </c>
      <c r="O43" s="61">
        <v>6.1597790000000003</v>
      </c>
      <c r="P43" s="61">
        <v>6.159592</v>
      </c>
      <c r="Q43" s="61">
        <v>6.1617009999999999</v>
      </c>
      <c r="R43" s="61">
        <v>6.162801</v>
      </c>
      <c r="S43" s="61">
        <v>6.1631689999999999</v>
      </c>
      <c r="T43" s="61">
        <v>6.1640280000000001</v>
      </c>
      <c r="U43" s="61">
        <v>6.1661429999999999</v>
      </c>
      <c r="V43" s="61">
        <v>6.1675360000000001</v>
      </c>
      <c r="W43" s="61">
        <v>6.1674319999999998</v>
      </c>
      <c r="X43" s="61">
        <v>6.1685819999999998</v>
      </c>
      <c r="Y43" s="61">
        <v>6.1709719999999999</v>
      </c>
      <c r="Z43" s="61">
        <v>6.171176</v>
      </c>
      <c r="AA43" s="61">
        <v>6.1722760000000001</v>
      </c>
      <c r="AB43" s="61">
        <v>6.1744009999999996</v>
      </c>
      <c r="AC43" s="61">
        <v>6.175586</v>
      </c>
      <c r="AD43" s="61">
        <v>6.1767789999999998</v>
      </c>
      <c r="AE43" s="61">
        <v>6.1779799999999998</v>
      </c>
      <c r="AF43" s="61">
        <v>6.179189</v>
      </c>
      <c r="AG43" s="61">
        <v>6.1804069999999998</v>
      </c>
      <c r="AH43" s="61">
        <v>6.1816329999999997</v>
      </c>
      <c r="AI43" s="61">
        <v>6.182868</v>
      </c>
      <c r="AJ43" s="61">
        <v>6.1841100000000004</v>
      </c>
      <c r="AK43" s="62">
        <v>1.9699999999999999E-4</v>
      </c>
    </row>
    <row r="44" spans="1:37" ht="15" customHeight="1">
      <c r="A44" s="56" t="s">
        <v>231</v>
      </c>
      <c r="B44" s="60" t="s">
        <v>232</v>
      </c>
      <c r="C44" s="61">
        <v>5.1759979999999999</v>
      </c>
      <c r="D44" s="61">
        <v>5.1493409999999997</v>
      </c>
      <c r="E44" s="61">
        <v>5.1485440000000002</v>
      </c>
      <c r="F44" s="61">
        <v>5.1351180000000003</v>
      </c>
      <c r="G44" s="61">
        <v>5.1214979999999999</v>
      </c>
      <c r="H44" s="61">
        <v>5.1131700000000002</v>
      </c>
      <c r="I44" s="61">
        <v>5.1068749999999996</v>
      </c>
      <c r="J44" s="61">
        <v>5.1001250000000002</v>
      </c>
      <c r="K44" s="61">
        <v>5.0954069999999998</v>
      </c>
      <c r="L44" s="61">
        <v>5.0923059999999998</v>
      </c>
      <c r="M44" s="61">
        <v>5.0851800000000003</v>
      </c>
      <c r="N44" s="61">
        <v>5.0822000000000003</v>
      </c>
      <c r="O44" s="61">
        <v>5.0765289999999998</v>
      </c>
      <c r="P44" s="61">
        <v>5.0746789999999997</v>
      </c>
      <c r="Q44" s="61">
        <v>5.072298</v>
      </c>
      <c r="R44" s="61">
        <v>5.0691280000000001</v>
      </c>
      <c r="S44" s="61">
        <v>5.0666989999999998</v>
      </c>
      <c r="T44" s="61">
        <v>5.0689719999999996</v>
      </c>
      <c r="U44" s="61">
        <v>5.067164</v>
      </c>
      <c r="V44" s="61">
        <v>5.064692</v>
      </c>
      <c r="W44" s="61">
        <v>5.0671790000000003</v>
      </c>
      <c r="X44" s="61">
        <v>5.0644499999999999</v>
      </c>
      <c r="Y44" s="61">
        <v>5.0636330000000003</v>
      </c>
      <c r="Z44" s="61">
        <v>5.0643700000000003</v>
      </c>
      <c r="AA44" s="61">
        <v>5.0640780000000003</v>
      </c>
      <c r="AB44" s="61">
        <v>5.0626110000000004</v>
      </c>
      <c r="AC44" s="61">
        <v>5.0658269999999996</v>
      </c>
      <c r="AD44" s="61">
        <v>5.0664360000000004</v>
      </c>
      <c r="AE44" s="61">
        <v>5.0678429999999999</v>
      </c>
      <c r="AF44" s="61">
        <v>5.0690910000000002</v>
      </c>
      <c r="AG44" s="61">
        <v>5.0703579999999997</v>
      </c>
      <c r="AH44" s="61">
        <v>5.0693210000000004</v>
      </c>
      <c r="AI44" s="61">
        <v>5.0696510000000004</v>
      </c>
      <c r="AJ44" s="61">
        <v>5.0702829999999999</v>
      </c>
      <c r="AK44" s="62">
        <v>-4.8299999999999998E-4</v>
      </c>
    </row>
    <row r="45" spans="1:37" ht="15" customHeight="1">
      <c r="A45" s="56" t="s">
        <v>233</v>
      </c>
      <c r="B45" s="60" t="s">
        <v>234</v>
      </c>
      <c r="C45" s="61">
        <v>5.5967529999999996</v>
      </c>
      <c r="D45" s="61">
        <v>5.6771430000000001</v>
      </c>
      <c r="E45" s="61">
        <v>5.6840089999999996</v>
      </c>
      <c r="F45" s="61">
        <v>5.7170959999999997</v>
      </c>
      <c r="G45" s="61">
        <v>5.6661299999999999</v>
      </c>
      <c r="H45" s="61">
        <v>5.6535770000000003</v>
      </c>
      <c r="I45" s="61">
        <v>5.6441179999999997</v>
      </c>
      <c r="J45" s="61">
        <v>5.6398200000000003</v>
      </c>
      <c r="K45" s="61">
        <v>5.6309760000000004</v>
      </c>
      <c r="L45" s="61">
        <v>5.6472470000000001</v>
      </c>
      <c r="M45" s="61">
        <v>5.6488060000000004</v>
      </c>
      <c r="N45" s="61">
        <v>5.6772070000000001</v>
      </c>
      <c r="O45" s="61">
        <v>5.6554729999999998</v>
      </c>
      <c r="P45" s="61">
        <v>5.6398169999999999</v>
      </c>
      <c r="Q45" s="61">
        <v>5.655303</v>
      </c>
      <c r="R45" s="61">
        <v>5.6159470000000002</v>
      </c>
      <c r="S45" s="61">
        <v>5.5804359999999997</v>
      </c>
      <c r="T45" s="61">
        <v>5.601731</v>
      </c>
      <c r="U45" s="61">
        <v>5.5999040000000004</v>
      </c>
      <c r="V45" s="61">
        <v>5.5448909999999998</v>
      </c>
      <c r="W45" s="61">
        <v>5.5638050000000003</v>
      </c>
      <c r="X45" s="61">
        <v>5.5047459999999999</v>
      </c>
      <c r="Y45" s="61">
        <v>5.4706440000000001</v>
      </c>
      <c r="Z45" s="61">
        <v>5.4392110000000002</v>
      </c>
      <c r="AA45" s="61">
        <v>5.4146479999999997</v>
      </c>
      <c r="AB45" s="61">
        <v>5.3607440000000004</v>
      </c>
      <c r="AC45" s="61">
        <v>5.3546440000000004</v>
      </c>
      <c r="AD45" s="61">
        <v>5.3370649999999999</v>
      </c>
      <c r="AE45" s="61">
        <v>5.3099679999999996</v>
      </c>
      <c r="AF45" s="61">
        <v>5.2794489999999996</v>
      </c>
      <c r="AG45" s="61">
        <v>5.249695</v>
      </c>
      <c r="AH45" s="61">
        <v>5.2043689999999998</v>
      </c>
      <c r="AI45" s="61">
        <v>5.1639299999999997</v>
      </c>
      <c r="AJ45" s="61">
        <v>5.1378079999999997</v>
      </c>
      <c r="AK45" s="62">
        <v>-3.1150000000000001E-3</v>
      </c>
    </row>
    <row r="46" spans="1:37" ht="15" customHeight="1">
      <c r="A46" s="56" t="s">
        <v>235</v>
      </c>
      <c r="B46" s="60" t="s">
        <v>236</v>
      </c>
      <c r="C46" s="61">
        <v>5.1509999999999998</v>
      </c>
      <c r="D46" s="61">
        <v>5.2744179999999998</v>
      </c>
      <c r="E46" s="61">
        <v>5.2506209999999998</v>
      </c>
      <c r="F46" s="61">
        <v>5.2757480000000001</v>
      </c>
      <c r="G46" s="61">
        <v>5.2430519999999996</v>
      </c>
      <c r="H46" s="61">
        <v>5.2341490000000004</v>
      </c>
      <c r="I46" s="61">
        <v>5.2313539999999996</v>
      </c>
      <c r="J46" s="61">
        <v>5.2458450000000001</v>
      </c>
      <c r="K46" s="61">
        <v>5.2317590000000003</v>
      </c>
      <c r="L46" s="61">
        <v>5.1954609999999999</v>
      </c>
      <c r="M46" s="61">
        <v>5.1871260000000001</v>
      </c>
      <c r="N46" s="61">
        <v>5.1891119999999997</v>
      </c>
      <c r="O46" s="61">
        <v>5.1797279999999999</v>
      </c>
      <c r="P46" s="61">
        <v>5.1827779999999999</v>
      </c>
      <c r="Q46" s="61">
        <v>5.1716069999999998</v>
      </c>
      <c r="R46" s="61">
        <v>5.1720730000000001</v>
      </c>
      <c r="S46" s="61">
        <v>5.1663009999999998</v>
      </c>
      <c r="T46" s="61">
        <v>5.1594030000000002</v>
      </c>
      <c r="U46" s="61">
        <v>5.1539609999999998</v>
      </c>
      <c r="V46" s="61">
        <v>5.1569050000000001</v>
      </c>
      <c r="W46" s="61">
        <v>5.1471669999999996</v>
      </c>
      <c r="X46" s="61">
        <v>5.1453899999999999</v>
      </c>
      <c r="Y46" s="61">
        <v>5.1359450000000004</v>
      </c>
      <c r="Z46" s="61">
        <v>5.1392990000000003</v>
      </c>
      <c r="AA46" s="61">
        <v>5.1376179999999998</v>
      </c>
      <c r="AB46" s="61">
        <v>5.1223150000000004</v>
      </c>
      <c r="AC46" s="61">
        <v>5.131875</v>
      </c>
      <c r="AD46" s="61">
        <v>5.1306099999999999</v>
      </c>
      <c r="AE46" s="61">
        <v>5.1394690000000001</v>
      </c>
      <c r="AF46" s="61">
        <v>5.1280320000000001</v>
      </c>
      <c r="AG46" s="61">
        <v>5.124009</v>
      </c>
      <c r="AH46" s="61">
        <v>5.1212489999999997</v>
      </c>
      <c r="AI46" s="61">
        <v>5.1119820000000002</v>
      </c>
      <c r="AJ46" s="61">
        <v>5.1060999999999996</v>
      </c>
      <c r="AK46" s="62">
        <v>-1.013E-3</v>
      </c>
    </row>
    <row r="47" spans="1:37" ht="15" customHeight="1">
      <c r="B47" s="63" t="s">
        <v>237</v>
      </c>
    </row>
    <row r="48" spans="1:37" ht="15" customHeight="1">
      <c r="A48" s="56" t="s">
        <v>238</v>
      </c>
      <c r="B48" s="60" t="s">
        <v>239</v>
      </c>
      <c r="C48" s="61">
        <v>5.7229999999999999</v>
      </c>
      <c r="D48" s="61">
        <v>5.7199359999999997</v>
      </c>
      <c r="E48" s="61">
        <v>5.7093740000000004</v>
      </c>
      <c r="F48" s="61">
        <v>5.7020210000000002</v>
      </c>
      <c r="G48" s="61">
        <v>5.6990360000000004</v>
      </c>
      <c r="H48" s="61">
        <v>5.7029030000000001</v>
      </c>
      <c r="I48" s="61">
        <v>5.7014690000000003</v>
      </c>
      <c r="J48" s="61">
        <v>5.697845</v>
      </c>
      <c r="K48" s="61">
        <v>5.6965690000000002</v>
      </c>
      <c r="L48" s="61">
        <v>5.6955710000000002</v>
      </c>
      <c r="M48" s="61">
        <v>5.6916909999999996</v>
      </c>
      <c r="N48" s="61">
        <v>5.6895829999999998</v>
      </c>
      <c r="O48" s="61">
        <v>5.6873170000000002</v>
      </c>
      <c r="P48" s="61">
        <v>5.6864030000000003</v>
      </c>
      <c r="Q48" s="61">
        <v>5.6859310000000001</v>
      </c>
      <c r="R48" s="61">
        <v>5.6860549999999996</v>
      </c>
      <c r="S48" s="61">
        <v>5.6862589999999997</v>
      </c>
      <c r="T48" s="61">
        <v>5.6853819999999997</v>
      </c>
      <c r="U48" s="61">
        <v>5.6852140000000002</v>
      </c>
      <c r="V48" s="61">
        <v>5.6858959999999996</v>
      </c>
      <c r="W48" s="61">
        <v>5.6868850000000002</v>
      </c>
      <c r="X48" s="61">
        <v>5.6879220000000004</v>
      </c>
      <c r="Y48" s="61">
        <v>5.6901700000000002</v>
      </c>
      <c r="Z48" s="61">
        <v>5.6909640000000001</v>
      </c>
      <c r="AA48" s="61">
        <v>5.6894390000000001</v>
      </c>
      <c r="AB48" s="61">
        <v>5.6887540000000003</v>
      </c>
      <c r="AC48" s="61">
        <v>5.6864689999999998</v>
      </c>
      <c r="AD48" s="61">
        <v>5.6844440000000001</v>
      </c>
      <c r="AE48" s="61">
        <v>5.683516</v>
      </c>
      <c r="AF48" s="61">
        <v>5.6828880000000002</v>
      </c>
      <c r="AG48" s="61">
        <v>5.6813929999999999</v>
      </c>
      <c r="AH48" s="61">
        <v>5.6792740000000004</v>
      </c>
      <c r="AI48" s="61">
        <v>5.678185</v>
      </c>
      <c r="AJ48" s="61">
        <v>5.676202</v>
      </c>
      <c r="AK48" s="62">
        <v>-2.4000000000000001E-4</v>
      </c>
    </row>
    <row r="49" spans="1:37" ht="15" customHeight="1">
      <c r="A49" s="56" t="s">
        <v>240</v>
      </c>
      <c r="B49" s="60" t="s">
        <v>241</v>
      </c>
      <c r="C49" s="61">
        <v>6.05</v>
      </c>
      <c r="D49" s="61">
        <v>6.1347209999999999</v>
      </c>
      <c r="E49" s="61">
        <v>6.1184380000000003</v>
      </c>
      <c r="F49" s="61">
        <v>6.1172810000000002</v>
      </c>
      <c r="G49" s="61">
        <v>6.117947</v>
      </c>
      <c r="H49" s="61">
        <v>6.1025400000000003</v>
      </c>
      <c r="I49" s="61">
        <v>6.1033739999999996</v>
      </c>
      <c r="J49" s="61">
        <v>6.1071629999999999</v>
      </c>
      <c r="K49" s="61">
        <v>6.1065849999999999</v>
      </c>
      <c r="L49" s="61">
        <v>6.1245560000000001</v>
      </c>
      <c r="M49" s="61">
        <v>6.090179</v>
      </c>
      <c r="N49" s="61">
        <v>6.1186819999999997</v>
      </c>
      <c r="O49" s="61">
        <v>6.0805309999999997</v>
      </c>
      <c r="P49" s="61">
        <v>6.1038079999999999</v>
      </c>
      <c r="Q49" s="61">
        <v>6.1135659999999996</v>
      </c>
      <c r="R49" s="61">
        <v>6.1076240000000004</v>
      </c>
      <c r="S49" s="61">
        <v>6.0846780000000003</v>
      </c>
      <c r="T49" s="61">
        <v>6.1340570000000003</v>
      </c>
      <c r="U49" s="61">
        <v>6.1319419999999996</v>
      </c>
      <c r="V49" s="61">
        <v>6.0897600000000001</v>
      </c>
      <c r="W49" s="61">
        <v>6.1385750000000003</v>
      </c>
      <c r="X49" s="61">
        <v>6.1383919999999996</v>
      </c>
      <c r="Y49" s="61">
        <v>6.1363960000000004</v>
      </c>
      <c r="Z49" s="61">
        <v>6.1379999999999999</v>
      </c>
      <c r="AA49" s="61">
        <v>6.1413979999999997</v>
      </c>
      <c r="AB49" s="61">
        <v>6.1053959999999998</v>
      </c>
      <c r="AC49" s="61">
        <v>6.1190619999999996</v>
      </c>
      <c r="AD49" s="61">
        <v>6.1323290000000004</v>
      </c>
      <c r="AE49" s="61">
        <v>6.1402510000000001</v>
      </c>
      <c r="AF49" s="61">
        <v>6.1441309999999998</v>
      </c>
      <c r="AG49" s="61">
        <v>6.1417869999999999</v>
      </c>
      <c r="AH49" s="61">
        <v>6.1391349999999996</v>
      </c>
      <c r="AI49" s="61">
        <v>6.1375440000000001</v>
      </c>
      <c r="AJ49" s="61">
        <v>6.1341609999999998</v>
      </c>
      <c r="AK49" s="62">
        <v>-3.0000000000000001E-6</v>
      </c>
    </row>
    <row r="50" spans="1:37" ht="15" customHeight="1">
      <c r="A50" s="56" t="s">
        <v>242</v>
      </c>
      <c r="B50" s="60" t="s">
        <v>243</v>
      </c>
      <c r="C50" s="61">
        <v>5.7380000000000004</v>
      </c>
      <c r="D50" s="61">
        <v>5.5547700000000004</v>
      </c>
      <c r="E50" s="61">
        <v>5.5572369999999998</v>
      </c>
      <c r="F50" s="61">
        <v>5.5581670000000001</v>
      </c>
      <c r="G50" s="61">
        <v>5.5659510000000001</v>
      </c>
      <c r="H50" s="61">
        <v>5.562354</v>
      </c>
      <c r="I50" s="61">
        <v>5.5637150000000002</v>
      </c>
      <c r="J50" s="61">
        <v>5.562271</v>
      </c>
      <c r="K50" s="61">
        <v>5.5667879999999998</v>
      </c>
      <c r="L50" s="61">
        <v>5.565995</v>
      </c>
      <c r="M50" s="61">
        <v>5.5575130000000001</v>
      </c>
      <c r="N50" s="61">
        <v>5.5605130000000003</v>
      </c>
      <c r="O50" s="61">
        <v>5.5607730000000002</v>
      </c>
      <c r="P50" s="61">
        <v>5.5617470000000004</v>
      </c>
      <c r="Q50" s="61">
        <v>5.5626410000000002</v>
      </c>
      <c r="R50" s="61">
        <v>5.562265</v>
      </c>
      <c r="S50" s="61">
        <v>5.569706</v>
      </c>
      <c r="T50" s="61">
        <v>5.5947889999999996</v>
      </c>
      <c r="U50" s="61">
        <v>5.5964090000000004</v>
      </c>
      <c r="V50" s="61">
        <v>5.6038379999999997</v>
      </c>
      <c r="W50" s="61">
        <v>5.6030389999999999</v>
      </c>
      <c r="X50" s="61">
        <v>5.6124460000000003</v>
      </c>
      <c r="Y50" s="61">
        <v>5.6163569999999998</v>
      </c>
      <c r="Z50" s="61">
        <v>5.6223010000000002</v>
      </c>
      <c r="AA50" s="61">
        <v>5.6172779999999998</v>
      </c>
      <c r="AB50" s="61">
        <v>5.6117030000000003</v>
      </c>
      <c r="AC50" s="61">
        <v>5.5987220000000004</v>
      </c>
      <c r="AD50" s="61">
        <v>5.5860859999999999</v>
      </c>
      <c r="AE50" s="61">
        <v>5.5761089999999998</v>
      </c>
      <c r="AF50" s="61">
        <v>5.5612719999999998</v>
      </c>
      <c r="AG50" s="61">
        <v>5.5591340000000002</v>
      </c>
      <c r="AH50" s="61">
        <v>5.5583109999999998</v>
      </c>
      <c r="AI50" s="61">
        <v>5.5584769999999999</v>
      </c>
      <c r="AJ50" s="61">
        <v>5.5588160000000002</v>
      </c>
      <c r="AK50" s="62">
        <v>2.3E-5</v>
      </c>
    </row>
    <row r="51" spans="1:37" ht="15" customHeight="1">
      <c r="A51" s="56" t="s">
        <v>244</v>
      </c>
      <c r="B51" s="60" t="s">
        <v>245</v>
      </c>
      <c r="C51" s="61">
        <v>3.6994319999999998</v>
      </c>
      <c r="D51" s="61">
        <v>3.6803349999999999</v>
      </c>
      <c r="E51" s="61">
        <v>3.6751779999999998</v>
      </c>
      <c r="F51" s="61">
        <v>3.6722600000000001</v>
      </c>
      <c r="G51" s="61">
        <v>3.661632</v>
      </c>
      <c r="H51" s="61">
        <v>3.661705</v>
      </c>
      <c r="I51" s="61">
        <v>3.6604510000000001</v>
      </c>
      <c r="J51" s="61">
        <v>3.65821</v>
      </c>
      <c r="K51" s="61">
        <v>3.6569090000000002</v>
      </c>
      <c r="L51" s="61">
        <v>3.6559050000000002</v>
      </c>
      <c r="M51" s="61">
        <v>3.655815</v>
      </c>
      <c r="N51" s="61">
        <v>3.6549260000000001</v>
      </c>
      <c r="O51" s="61">
        <v>3.6537899999999999</v>
      </c>
      <c r="P51" s="61">
        <v>3.6542750000000002</v>
      </c>
      <c r="Q51" s="61">
        <v>3.6541939999999999</v>
      </c>
      <c r="R51" s="61">
        <v>3.6551800000000001</v>
      </c>
      <c r="S51" s="61">
        <v>3.6552220000000002</v>
      </c>
      <c r="T51" s="61">
        <v>3.6557840000000001</v>
      </c>
      <c r="U51" s="61">
        <v>3.6554319999999998</v>
      </c>
      <c r="V51" s="61">
        <v>3.6563289999999999</v>
      </c>
      <c r="W51" s="61">
        <v>3.656425</v>
      </c>
      <c r="X51" s="61">
        <v>3.6584599999999998</v>
      </c>
      <c r="Y51" s="61">
        <v>3.659478</v>
      </c>
      <c r="Z51" s="61">
        <v>3.6604260000000002</v>
      </c>
      <c r="AA51" s="61">
        <v>3.6596030000000002</v>
      </c>
      <c r="AB51" s="61">
        <v>3.6590319999999998</v>
      </c>
      <c r="AC51" s="61">
        <v>3.657537</v>
      </c>
      <c r="AD51" s="61">
        <v>3.655983</v>
      </c>
      <c r="AE51" s="61">
        <v>3.6549179999999999</v>
      </c>
      <c r="AF51" s="61">
        <v>3.6535739999999999</v>
      </c>
      <c r="AG51" s="61">
        <v>3.651659</v>
      </c>
      <c r="AH51" s="61">
        <v>3.6501269999999999</v>
      </c>
      <c r="AI51" s="61">
        <v>3.6490499999999999</v>
      </c>
      <c r="AJ51" s="61">
        <v>3.6478000000000002</v>
      </c>
      <c r="AK51" s="62">
        <v>-2.7700000000000001E-4</v>
      </c>
    </row>
    <row r="53" spans="1:37" ht="15" customHeight="1">
      <c r="B53" s="59" t="s">
        <v>246</v>
      </c>
    </row>
    <row r="54" spans="1:37" ht="15" customHeight="1">
      <c r="A54" s="56" t="s">
        <v>247</v>
      </c>
      <c r="B54" s="60" t="s">
        <v>248</v>
      </c>
      <c r="C54" s="61">
        <v>1.0369999999999999</v>
      </c>
      <c r="D54" s="61">
        <v>1.0369999999999999</v>
      </c>
      <c r="E54" s="61">
        <v>1.0369999999999999</v>
      </c>
      <c r="F54" s="61">
        <v>1.0369999999999999</v>
      </c>
      <c r="G54" s="61">
        <v>1.0369999999999999</v>
      </c>
      <c r="H54" s="61">
        <v>1.0369999999999999</v>
      </c>
      <c r="I54" s="61">
        <v>1.0369999999999999</v>
      </c>
      <c r="J54" s="61">
        <v>1.0369999999999999</v>
      </c>
      <c r="K54" s="61">
        <v>1.0369999999999999</v>
      </c>
      <c r="L54" s="61">
        <v>1.0369999999999999</v>
      </c>
      <c r="M54" s="61">
        <v>1.0369999999999999</v>
      </c>
      <c r="N54" s="61">
        <v>1.0369999999999999</v>
      </c>
      <c r="O54" s="61">
        <v>1.0369999999999999</v>
      </c>
      <c r="P54" s="61">
        <v>1.0369999999999999</v>
      </c>
      <c r="Q54" s="61">
        <v>1.0369999999999999</v>
      </c>
      <c r="R54" s="61">
        <v>1.0369999999999999</v>
      </c>
      <c r="S54" s="61">
        <v>1.0369999999999999</v>
      </c>
      <c r="T54" s="61">
        <v>1.0369999999999999</v>
      </c>
      <c r="U54" s="61">
        <v>1.0369999999999999</v>
      </c>
      <c r="V54" s="61">
        <v>1.0369999999999999</v>
      </c>
      <c r="W54" s="61">
        <v>1.0369999999999999</v>
      </c>
      <c r="X54" s="61">
        <v>1.0369999999999999</v>
      </c>
      <c r="Y54" s="61">
        <v>1.0369999999999999</v>
      </c>
      <c r="Z54" s="61">
        <v>1.0369999999999999</v>
      </c>
      <c r="AA54" s="61">
        <v>1.0369999999999999</v>
      </c>
      <c r="AB54" s="61">
        <v>1.0369999999999999</v>
      </c>
      <c r="AC54" s="61">
        <v>1.0369999999999999</v>
      </c>
      <c r="AD54" s="61">
        <v>1.0369999999999999</v>
      </c>
      <c r="AE54" s="61">
        <v>1.0369999999999999</v>
      </c>
      <c r="AF54" s="61">
        <v>1.0369999999999999</v>
      </c>
      <c r="AG54" s="61">
        <v>1.0369999999999999</v>
      </c>
      <c r="AH54" s="61">
        <v>1.0369999999999999</v>
      </c>
      <c r="AI54" s="61">
        <v>1.0369999999999999</v>
      </c>
      <c r="AJ54" s="61">
        <v>1.0369999999999999</v>
      </c>
      <c r="AK54" s="62">
        <v>0</v>
      </c>
    </row>
    <row r="55" spans="1:37" ht="15" customHeight="1">
      <c r="A55" s="56" t="s">
        <v>249</v>
      </c>
      <c r="B55" s="60" t="s">
        <v>250</v>
      </c>
      <c r="C55" s="61">
        <v>1.0329999999999999</v>
      </c>
      <c r="D55" s="61">
        <v>1.0329999999999999</v>
      </c>
      <c r="E55" s="61">
        <v>1.0329999999999999</v>
      </c>
      <c r="F55" s="61">
        <v>1.0329999999999999</v>
      </c>
      <c r="G55" s="61">
        <v>1.0329999999999999</v>
      </c>
      <c r="H55" s="61">
        <v>1.0329999999999999</v>
      </c>
      <c r="I55" s="61">
        <v>1.0329999999999999</v>
      </c>
      <c r="J55" s="61">
        <v>1.0329999999999999</v>
      </c>
      <c r="K55" s="61">
        <v>1.0329999999999999</v>
      </c>
      <c r="L55" s="61">
        <v>1.0329999999999999</v>
      </c>
      <c r="M55" s="61">
        <v>1.0329999999999999</v>
      </c>
      <c r="N55" s="61">
        <v>1.0329999999999999</v>
      </c>
      <c r="O55" s="61">
        <v>1.0329999999999999</v>
      </c>
      <c r="P55" s="61">
        <v>1.0329999999999999</v>
      </c>
      <c r="Q55" s="61">
        <v>1.0329999999999999</v>
      </c>
      <c r="R55" s="61">
        <v>1.0329999999999999</v>
      </c>
      <c r="S55" s="61">
        <v>1.0329999999999999</v>
      </c>
      <c r="T55" s="61">
        <v>1.0329999999999999</v>
      </c>
      <c r="U55" s="61">
        <v>1.0329999999999999</v>
      </c>
      <c r="V55" s="61">
        <v>1.0329999999999999</v>
      </c>
      <c r="W55" s="61">
        <v>1.0329999999999999</v>
      </c>
      <c r="X55" s="61">
        <v>1.0329999999999999</v>
      </c>
      <c r="Y55" s="61">
        <v>1.0329999999999999</v>
      </c>
      <c r="Z55" s="61">
        <v>1.0329999999999999</v>
      </c>
      <c r="AA55" s="61">
        <v>1.0329999999999999</v>
      </c>
      <c r="AB55" s="61">
        <v>1.0329999999999999</v>
      </c>
      <c r="AC55" s="61">
        <v>1.0329999999999999</v>
      </c>
      <c r="AD55" s="61">
        <v>1.0329999999999999</v>
      </c>
      <c r="AE55" s="61">
        <v>1.0329999999999999</v>
      </c>
      <c r="AF55" s="61">
        <v>1.0329999999999999</v>
      </c>
      <c r="AG55" s="61">
        <v>1.0329999999999999</v>
      </c>
      <c r="AH55" s="61">
        <v>1.0329999999999999</v>
      </c>
      <c r="AI55" s="61">
        <v>1.0329999999999999</v>
      </c>
      <c r="AJ55" s="61">
        <v>1.0329999999999999</v>
      </c>
      <c r="AK55" s="62">
        <v>0</v>
      </c>
    </row>
    <row r="56" spans="1:37" ht="15" customHeight="1">
      <c r="A56" s="56" t="s">
        <v>251</v>
      </c>
      <c r="B56" s="60" t="s">
        <v>252</v>
      </c>
      <c r="C56" s="61">
        <v>1.0389999999999999</v>
      </c>
      <c r="D56" s="61">
        <v>1.0389999999999999</v>
      </c>
      <c r="E56" s="61">
        <v>1.0389999999999999</v>
      </c>
      <c r="F56" s="61">
        <v>1.0389999999999999</v>
      </c>
      <c r="G56" s="61">
        <v>1.0389999999999999</v>
      </c>
      <c r="H56" s="61">
        <v>1.0389999999999999</v>
      </c>
      <c r="I56" s="61">
        <v>1.0389999999999999</v>
      </c>
      <c r="J56" s="61">
        <v>1.0389999999999999</v>
      </c>
      <c r="K56" s="61">
        <v>1.0389999999999999</v>
      </c>
      <c r="L56" s="61">
        <v>1.0389999999999999</v>
      </c>
      <c r="M56" s="61">
        <v>1.0389999999999999</v>
      </c>
      <c r="N56" s="61">
        <v>1.0389999999999999</v>
      </c>
      <c r="O56" s="61">
        <v>1.0389999999999999</v>
      </c>
      <c r="P56" s="61">
        <v>1.0389999999999999</v>
      </c>
      <c r="Q56" s="61">
        <v>1.0389999999999999</v>
      </c>
      <c r="R56" s="61">
        <v>1.0389999999999999</v>
      </c>
      <c r="S56" s="61">
        <v>1.0389999999999999</v>
      </c>
      <c r="T56" s="61">
        <v>1.0389999999999999</v>
      </c>
      <c r="U56" s="61">
        <v>1.0389999999999999</v>
      </c>
      <c r="V56" s="61">
        <v>1.0389999999999999</v>
      </c>
      <c r="W56" s="61">
        <v>1.0389999999999999</v>
      </c>
      <c r="X56" s="61">
        <v>1.0389999999999999</v>
      </c>
      <c r="Y56" s="61">
        <v>1.0389999999999999</v>
      </c>
      <c r="Z56" s="61">
        <v>1.0389999999999999</v>
      </c>
      <c r="AA56" s="61">
        <v>1.0389999999999999</v>
      </c>
      <c r="AB56" s="61">
        <v>1.0389999999999999</v>
      </c>
      <c r="AC56" s="61">
        <v>1.0389999999999999</v>
      </c>
      <c r="AD56" s="61">
        <v>1.0389999999999999</v>
      </c>
      <c r="AE56" s="61">
        <v>1.0389999999999999</v>
      </c>
      <c r="AF56" s="61">
        <v>1.0389999999999999</v>
      </c>
      <c r="AG56" s="61">
        <v>1.0389999999999999</v>
      </c>
      <c r="AH56" s="61">
        <v>1.0389999999999999</v>
      </c>
      <c r="AI56" s="61">
        <v>1.0389999999999999</v>
      </c>
      <c r="AJ56" s="61">
        <v>1.0389999999999999</v>
      </c>
      <c r="AK56" s="62">
        <v>0</v>
      </c>
    </row>
    <row r="57" spans="1:37" ht="15" customHeight="1">
      <c r="A57" s="56" t="s">
        <v>253</v>
      </c>
      <c r="B57" s="60" t="s">
        <v>254</v>
      </c>
      <c r="C57" s="61">
        <v>1.0369999999999999</v>
      </c>
      <c r="D57" s="61">
        <v>1.0369999999999999</v>
      </c>
      <c r="E57" s="61">
        <v>1.0369999999999999</v>
      </c>
      <c r="F57" s="61">
        <v>1.0369999999999999</v>
      </c>
      <c r="G57" s="61">
        <v>1.0369999999999999</v>
      </c>
      <c r="H57" s="61">
        <v>1.0369999999999999</v>
      </c>
      <c r="I57" s="61">
        <v>1.0369999999999999</v>
      </c>
      <c r="J57" s="61">
        <v>1.0369999999999999</v>
      </c>
      <c r="K57" s="61">
        <v>1.0369999999999999</v>
      </c>
      <c r="L57" s="61">
        <v>1.0369999999999999</v>
      </c>
      <c r="M57" s="61">
        <v>1.0369999999999999</v>
      </c>
      <c r="N57" s="61">
        <v>1.0369999999999999</v>
      </c>
      <c r="O57" s="61">
        <v>1.0369999999999999</v>
      </c>
      <c r="P57" s="61">
        <v>1.0369999999999999</v>
      </c>
      <c r="Q57" s="61">
        <v>1.0369999999999999</v>
      </c>
      <c r="R57" s="61">
        <v>1.0369999999999999</v>
      </c>
      <c r="S57" s="61">
        <v>1.0369999999999999</v>
      </c>
      <c r="T57" s="61">
        <v>1.0369999999999999</v>
      </c>
      <c r="U57" s="61">
        <v>1.0369999999999999</v>
      </c>
      <c r="V57" s="61">
        <v>1.0369999999999999</v>
      </c>
      <c r="W57" s="61">
        <v>1.0369999999999999</v>
      </c>
      <c r="X57" s="61">
        <v>1.0369999999999999</v>
      </c>
      <c r="Y57" s="61">
        <v>1.0369999999999999</v>
      </c>
      <c r="Z57" s="61">
        <v>1.0369999999999999</v>
      </c>
      <c r="AA57" s="61">
        <v>1.0369999999999999</v>
      </c>
      <c r="AB57" s="61">
        <v>1.0369999999999999</v>
      </c>
      <c r="AC57" s="61">
        <v>1.0369999999999999</v>
      </c>
      <c r="AD57" s="61">
        <v>1.0369999999999999</v>
      </c>
      <c r="AE57" s="61">
        <v>1.0369999999999999</v>
      </c>
      <c r="AF57" s="61">
        <v>1.0369999999999999</v>
      </c>
      <c r="AG57" s="61">
        <v>1.0369999999999999</v>
      </c>
      <c r="AH57" s="61">
        <v>1.0369999999999999</v>
      </c>
      <c r="AI57" s="61">
        <v>1.0369999999999999</v>
      </c>
      <c r="AJ57" s="61">
        <v>1.0369999999999999</v>
      </c>
      <c r="AK57" s="62">
        <v>0</v>
      </c>
    </row>
    <row r="58" spans="1:37" ht="15" customHeight="1">
      <c r="A58" s="56" t="s">
        <v>255</v>
      </c>
      <c r="B58" s="60" t="s">
        <v>256</v>
      </c>
      <c r="C58" s="61">
        <v>1.0249999999999999</v>
      </c>
      <c r="D58" s="61">
        <v>1.0249999999999999</v>
      </c>
      <c r="E58" s="61">
        <v>1.0249999999999999</v>
      </c>
      <c r="F58" s="61">
        <v>1.0249999999999999</v>
      </c>
      <c r="G58" s="61">
        <v>1.0249999999999999</v>
      </c>
      <c r="H58" s="61">
        <v>1.0249999999999999</v>
      </c>
      <c r="I58" s="61">
        <v>1.0249999999999999</v>
      </c>
      <c r="J58" s="61">
        <v>1.0249999999999999</v>
      </c>
      <c r="K58" s="61">
        <v>1.0249999999999999</v>
      </c>
      <c r="L58" s="61">
        <v>1.0249999999999999</v>
      </c>
      <c r="M58" s="61">
        <v>1.0249999999999999</v>
      </c>
      <c r="N58" s="61">
        <v>1.0249999999999999</v>
      </c>
      <c r="O58" s="61">
        <v>1.0249999999999999</v>
      </c>
      <c r="P58" s="61">
        <v>1.0249999999999999</v>
      </c>
      <c r="Q58" s="61">
        <v>1.0249999999999999</v>
      </c>
      <c r="R58" s="61">
        <v>1.0249999999999999</v>
      </c>
      <c r="S58" s="61">
        <v>1.0249999999999999</v>
      </c>
      <c r="T58" s="61">
        <v>1.0249999999999999</v>
      </c>
      <c r="U58" s="61">
        <v>1.0249999999999999</v>
      </c>
      <c r="V58" s="61">
        <v>1.0249999999999999</v>
      </c>
      <c r="W58" s="61">
        <v>1.0249999999999999</v>
      </c>
      <c r="X58" s="61">
        <v>1.0249999999999999</v>
      </c>
      <c r="Y58" s="61">
        <v>1.0249999999999999</v>
      </c>
      <c r="Z58" s="61">
        <v>1.0249999999999999</v>
      </c>
      <c r="AA58" s="61">
        <v>1.0249999999999999</v>
      </c>
      <c r="AB58" s="61">
        <v>1.0249999999999999</v>
      </c>
      <c r="AC58" s="61">
        <v>1.0249999999999999</v>
      </c>
      <c r="AD58" s="61">
        <v>1.0249999999999999</v>
      </c>
      <c r="AE58" s="61">
        <v>1.0249999999999999</v>
      </c>
      <c r="AF58" s="61">
        <v>1.0249999999999999</v>
      </c>
      <c r="AG58" s="61">
        <v>1.0249999999999999</v>
      </c>
      <c r="AH58" s="61">
        <v>1.0249999999999999</v>
      </c>
      <c r="AI58" s="61">
        <v>1.0249999999999999</v>
      </c>
      <c r="AJ58" s="61">
        <v>1.0249999999999999</v>
      </c>
      <c r="AK58" s="62">
        <v>0</v>
      </c>
    </row>
    <row r="59" spans="1:37" ht="15" customHeight="1">
      <c r="A59" s="56" t="s">
        <v>257</v>
      </c>
      <c r="B59" s="60" t="s">
        <v>258</v>
      </c>
      <c r="C59" s="61">
        <v>1.0089999999999999</v>
      </c>
      <c r="D59" s="61">
        <v>1.0089999999999999</v>
      </c>
      <c r="E59" s="61">
        <v>1.0089999999999999</v>
      </c>
      <c r="F59" s="61">
        <v>1.0089999999999999</v>
      </c>
      <c r="G59" s="61">
        <v>1.0089999999999999</v>
      </c>
      <c r="H59" s="61">
        <v>1.0089999999999999</v>
      </c>
      <c r="I59" s="61">
        <v>1.0089999999999999</v>
      </c>
      <c r="J59" s="61">
        <v>1.0089999999999999</v>
      </c>
      <c r="K59" s="61">
        <v>1.0089999999999999</v>
      </c>
      <c r="L59" s="61">
        <v>1.0089999999999999</v>
      </c>
      <c r="M59" s="61">
        <v>1.0089999999999999</v>
      </c>
      <c r="N59" s="61">
        <v>1.0089999999999999</v>
      </c>
      <c r="O59" s="61">
        <v>1.0089999999999999</v>
      </c>
      <c r="P59" s="61">
        <v>1.0089999999999999</v>
      </c>
      <c r="Q59" s="61">
        <v>1.0089999999999999</v>
      </c>
      <c r="R59" s="61">
        <v>1.0089999999999999</v>
      </c>
      <c r="S59" s="61">
        <v>1.0089999999999999</v>
      </c>
      <c r="T59" s="61">
        <v>1.0089999999999999</v>
      </c>
      <c r="U59" s="61">
        <v>1.0089999999999999</v>
      </c>
      <c r="V59" s="61">
        <v>1.0089999999999999</v>
      </c>
      <c r="W59" s="61">
        <v>1.0089999999999999</v>
      </c>
      <c r="X59" s="61">
        <v>1.0089999999999999</v>
      </c>
      <c r="Y59" s="61">
        <v>1.0089999999999999</v>
      </c>
      <c r="Z59" s="61">
        <v>1.0089999999999999</v>
      </c>
      <c r="AA59" s="61">
        <v>1.0089999999999999</v>
      </c>
      <c r="AB59" s="61">
        <v>1.0089999999999999</v>
      </c>
      <c r="AC59" s="61">
        <v>1.0089999999999999</v>
      </c>
      <c r="AD59" s="61">
        <v>1.0089999999999999</v>
      </c>
      <c r="AE59" s="61">
        <v>1.0089999999999999</v>
      </c>
      <c r="AF59" s="61">
        <v>1.0089999999999999</v>
      </c>
      <c r="AG59" s="61">
        <v>1.0089999999999999</v>
      </c>
      <c r="AH59" s="61">
        <v>1.0089999999999999</v>
      </c>
      <c r="AI59" s="61">
        <v>1.0089999999999999</v>
      </c>
      <c r="AJ59" s="61">
        <v>1.0089999999999999</v>
      </c>
      <c r="AK59" s="62">
        <v>0</v>
      </c>
    </row>
    <row r="60" spans="1:37" ht="15" customHeight="1">
      <c r="A60" s="56" t="s">
        <v>259</v>
      </c>
      <c r="B60" s="60" t="s">
        <v>260</v>
      </c>
      <c r="C60" s="61">
        <v>0.96</v>
      </c>
      <c r="D60" s="61">
        <v>0.96</v>
      </c>
      <c r="E60" s="61">
        <v>0.96</v>
      </c>
      <c r="F60" s="61">
        <v>0.96</v>
      </c>
      <c r="G60" s="61">
        <v>0.96</v>
      </c>
      <c r="H60" s="61">
        <v>0.96</v>
      </c>
      <c r="I60" s="61">
        <v>0.96</v>
      </c>
      <c r="J60" s="61">
        <v>0.96</v>
      </c>
      <c r="K60" s="61">
        <v>0.96</v>
      </c>
      <c r="L60" s="61">
        <v>0.96</v>
      </c>
      <c r="M60" s="61">
        <v>0.96</v>
      </c>
      <c r="N60" s="61">
        <v>0.96</v>
      </c>
      <c r="O60" s="61">
        <v>0.96</v>
      </c>
      <c r="P60" s="61">
        <v>0.96</v>
      </c>
      <c r="Q60" s="61">
        <v>0.96</v>
      </c>
      <c r="R60" s="61">
        <v>0.96</v>
      </c>
      <c r="S60" s="61">
        <v>0.96</v>
      </c>
      <c r="T60" s="61">
        <v>0.96</v>
      </c>
      <c r="U60" s="61">
        <v>0.96</v>
      </c>
      <c r="V60" s="61">
        <v>0.96</v>
      </c>
      <c r="W60" s="61">
        <v>0.96</v>
      </c>
      <c r="X60" s="61">
        <v>0.96</v>
      </c>
      <c r="Y60" s="61">
        <v>0.96</v>
      </c>
      <c r="Z60" s="61">
        <v>0.96</v>
      </c>
      <c r="AA60" s="61">
        <v>0.96</v>
      </c>
      <c r="AB60" s="61">
        <v>0.96</v>
      </c>
      <c r="AC60" s="61">
        <v>0.96</v>
      </c>
      <c r="AD60" s="61">
        <v>0.96</v>
      </c>
      <c r="AE60" s="61">
        <v>0.96</v>
      </c>
      <c r="AF60" s="61">
        <v>0.96</v>
      </c>
      <c r="AG60" s="61">
        <v>0.96</v>
      </c>
      <c r="AH60" s="61">
        <v>0.96</v>
      </c>
      <c r="AI60" s="61">
        <v>0.96</v>
      </c>
      <c r="AJ60" s="61">
        <v>0.96</v>
      </c>
      <c r="AK60" s="62">
        <v>0</v>
      </c>
    </row>
    <row r="62" spans="1:37" ht="15" customHeight="1">
      <c r="B62" s="59" t="s">
        <v>261</v>
      </c>
    </row>
    <row r="63" spans="1:37" ht="15" customHeight="1">
      <c r="A63" s="56" t="s">
        <v>262</v>
      </c>
      <c r="B63" s="60" t="s">
        <v>254</v>
      </c>
      <c r="C63" s="64">
        <v>20.537140000000001</v>
      </c>
      <c r="D63" s="64">
        <v>20.439444999999999</v>
      </c>
      <c r="E63" s="64">
        <v>20.349045</v>
      </c>
      <c r="F63" s="64">
        <v>20.466270000000002</v>
      </c>
      <c r="G63" s="64">
        <v>20.363602</v>
      </c>
      <c r="H63" s="64">
        <v>20.554328999999999</v>
      </c>
      <c r="I63" s="64">
        <v>20.653105</v>
      </c>
      <c r="J63" s="64">
        <v>20.626196</v>
      </c>
      <c r="K63" s="64">
        <v>20.621486999999998</v>
      </c>
      <c r="L63" s="64">
        <v>20.64123</v>
      </c>
      <c r="M63" s="64">
        <v>20.627844</v>
      </c>
      <c r="N63" s="64">
        <v>20.536940000000001</v>
      </c>
      <c r="O63" s="64">
        <v>20.501505000000002</v>
      </c>
      <c r="P63" s="64">
        <v>20.413281999999999</v>
      </c>
      <c r="Q63" s="64">
        <v>20.399070999999999</v>
      </c>
      <c r="R63" s="64">
        <v>20.458255999999999</v>
      </c>
      <c r="S63" s="64">
        <v>20.429285</v>
      </c>
      <c r="T63" s="64">
        <v>20.364529000000001</v>
      </c>
      <c r="U63" s="64">
        <v>20.373262</v>
      </c>
      <c r="V63" s="64">
        <v>20.367173999999999</v>
      </c>
      <c r="W63" s="64">
        <v>20.397617</v>
      </c>
      <c r="X63" s="64">
        <v>20.405455</v>
      </c>
      <c r="Y63" s="64">
        <v>20.39472</v>
      </c>
      <c r="Z63" s="64">
        <v>20.372592999999998</v>
      </c>
      <c r="AA63" s="64">
        <v>20.382771999999999</v>
      </c>
      <c r="AB63" s="64">
        <v>20.366734000000001</v>
      </c>
      <c r="AC63" s="64">
        <v>20.354519</v>
      </c>
      <c r="AD63" s="64">
        <v>20.355229999999999</v>
      </c>
      <c r="AE63" s="64">
        <v>20.386980000000001</v>
      </c>
      <c r="AF63" s="64">
        <v>20.356945</v>
      </c>
      <c r="AG63" s="64">
        <v>20.336355000000001</v>
      </c>
      <c r="AH63" s="64">
        <v>20.357395</v>
      </c>
      <c r="AI63" s="64">
        <v>20.34404</v>
      </c>
      <c r="AJ63" s="64">
        <v>20.347266999999999</v>
      </c>
      <c r="AK63" s="62">
        <v>-1.4100000000000001E-4</v>
      </c>
    </row>
    <row r="64" spans="1:37" ht="15" customHeight="1">
      <c r="A64" s="56" t="s">
        <v>263</v>
      </c>
      <c r="B64" s="60" t="s">
        <v>264</v>
      </c>
      <c r="C64" s="64">
        <v>25.416302000000002</v>
      </c>
      <c r="D64" s="64">
        <v>25.057079000000002</v>
      </c>
      <c r="E64" s="64">
        <v>25.074783</v>
      </c>
      <c r="F64" s="64">
        <v>25.042176999999999</v>
      </c>
      <c r="G64" s="64">
        <v>24.938278</v>
      </c>
      <c r="H64" s="64">
        <v>24.964016000000001</v>
      </c>
      <c r="I64" s="64">
        <v>24.911818</v>
      </c>
      <c r="J64" s="64">
        <v>24.91433</v>
      </c>
      <c r="K64" s="64">
        <v>24.898243000000001</v>
      </c>
      <c r="L64" s="64">
        <v>24.920572</v>
      </c>
      <c r="M64" s="64">
        <v>24.903048999999999</v>
      </c>
      <c r="N64" s="64">
        <v>24.81945</v>
      </c>
      <c r="O64" s="64">
        <v>24.850802999999999</v>
      </c>
      <c r="P64" s="64">
        <v>24.769541</v>
      </c>
      <c r="Q64" s="64">
        <v>24.735579000000001</v>
      </c>
      <c r="R64" s="64">
        <v>24.729203999999999</v>
      </c>
      <c r="S64" s="64">
        <v>24.688946000000001</v>
      </c>
      <c r="T64" s="64">
        <v>24.612100999999999</v>
      </c>
      <c r="U64" s="64">
        <v>24.600828</v>
      </c>
      <c r="V64" s="64">
        <v>24.592124999999999</v>
      </c>
      <c r="W64" s="64">
        <v>24.569109000000001</v>
      </c>
      <c r="X64" s="64">
        <v>24.53866</v>
      </c>
      <c r="Y64" s="64">
        <v>24.501373000000001</v>
      </c>
      <c r="Z64" s="64">
        <v>24.474423999999999</v>
      </c>
      <c r="AA64" s="64">
        <v>24.491461000000001</v>
      </c>
      <c r="AB64" s="64">
        <v>24.462054999999999</v>
      </c>
      <c r="AC64" s="64">
        <v>24.426752</v>
      </c>
      <c r="AD64" s="64">
        <v>24.399635</v>
      </c>
      <c r="AE64" s="64">
        <v>24.407730000000001</v>
      </c>
      <c r="AF64" s="64">
        <v>24.328617000000001</v>
      </c>
      <c r="AG64" s="64">
        <v>24.285736</v>
      </c>
      <c r="AH64" s="64">
        <v>24.280874000000001</v>
      </c>
      <c r="AI64" s="64">
        <v>24.244130999999999</v>
      </c>
      <c r="AJ64" s="64">
        <v>24.256340000000002</v>
      </c>
      <c r="AK64" s="62">
        <v>-1.0139999999999999E-3</v>
      </c>
    </row>
    <row r="65" spans="1:37" ht="15" customHeight="1">
      <c r="A65" s="56" t="s">
        <v>265</v>
      </c>
      <c r="B65" s="60" t="s">
        <v>266</v>
      </c>
      <c r="C65" s="64">
        <v>17.234355999999998</v>
      </c>
      <c r="D65" s="64">
        <v>17.205303000000001</v>
      </c>
      <c r="E65" s="64">
        <v>17.117476</v>
      </c>
      <c r="F65" s="64">
        <v>17.06934</v>
      </c>
      <c r="G65" s="64">
        <v>16.988295000000001</v>
      </c>
      <c r="H65" s="64">
        <v>17.022928</v>
      </c>
      <c r="I65" s="64">
        <v>17.071612999999999</v>
      </c>
      <c r="J65" s="64">
        <v>17.059359000000001</v>
      </c>
      <c r="K65" s="64">
        <v>17.037023999999999</v>
      </c>
      <c r="L65" s="64">
        <v>17.056746</v>
      </c>
      <c r="M65" s="64">
        <v>17.031739999999999</v>
      </c>
      <c r="N65" s="64">
        <v>16.978151</v>
      </c>
      <c r="O65" s="64">
        <v>16.968306999999999</v>
      </c>
      <c r="P65" s="64">
        <v>16.998640000000002</v>
      </c>
      <c r="Q65" s="64">
        <v>16.972049999999999</v>
      </c>
      <c r="R65" s="64">
        <v>17.002645000000001</v>
      </c>
      <c r="S65" s="64">
        <v>17.003274999999999</v>
      </c>
      <c r="T65" s="64">
        <v>17.003226999999999</v>
      </c>
      <c r="U65" s="64">
        <v>17.012267999999999</v>
      </c>
      <c r="V65" s="64">
        <v>17.012785000000001</v>
      </c>
      <c r="W65" s="64">
        <v>17.036083000000001</v>
      </c>
      <c r="X65" s="64">
        <v>17.044588000000001</v>
      </c>
      <c r="Y65" s="64">
        <v>17.050751000000002</v>
      </c>
      <c r="Z65" s="64">
        <v>17.064136999999999</v>
      </c>
      <c r="AA65" s="64">
        <v>17.081581</v>
      </c>
      <c r="AB65" s="64">
        <v>17.08465</v>
      </c>
      <c r="AC65" s="64">
        <v>17.087126000000001</v>
      </c>
      <c r="AD65" s="64">
        <v>17.088546999999998</v>
      </c>
      <c r="AE65" s="64">
        <v>17.086746000000002</v>
      </c>
      <c r="AF65" s="64">
        <v>17.085443000000001</v>
      </c>
      <c r="AG65" s="64">
        <v>17.080282</v>
      </c>
      <c r="AH65" s="64">
        <v>17.077895999999999</v>
      </c>
      <c r="AI65" s="64">
        <v>17.084911000000002</v>
      </c>
      <c r="AJ65" s="64">
        <v>17.086425999999999</v>
      </c>
      <c r="AK65" s="62">
        <v>-2.1699999999999999E-4</v>
      </c>
    </row>
    <row r="66" spans="1:37" ht="15" customHeight="1">
      <c r="A66" s="56" t="s">
        <v>267</v>
      </c>
      <c r="B66" s="60" t="s">
        <v>248</v>
      </c>
      <c r="C66" s="64">
        <v>19.437477000000001</v>
      </c>
      <c r="D66" s="64">
        <v>19.706896</v>
      </c>
      <c r="E66" s="64">
        <v>19.588093000000001</v>
      </c>
      <c r="F66" s="64">
        <v>19.676338000000001</v>
      </c>
      <c r="G66" s="64">
        <v>19.593861</v>
      </c>
      <c r="H66" s="64">
        <v>19.763271</v>
      </c>
      <c r="I66" s="64">
        <v>19.874037000000001</v>
      </c>
      <c r="J66" s="64">
        <v>19.832982999999999</v>
      </c>
      <c r="K66" s="64">
        <v>19.854051999999999</v>
      </c>
      <c r="L66" s="64">
        <v>19.849159</v>
      </c>
      <c r="M66" s="64">
        <v>19.841605999999999</v>
      </c>
      <c r="N66" s="64">
        <v>19.838450999999999</v>
      </c>
      <c r="O66" s="64">
        <v>19.782232</v>
      </c>
      <c r="P66" s="64">
        <v>19.750865999999998</v>
      </c>
      <c r="Q66" s="64">
        <v>19.757529999999999</v>
      </c>
      <c r="R66" s="64">
        <v>19.792145000000001</v>
      </c>
      <c r="S66" s="64">
        <v>19.787579999999998</v>
      </c>
      <c r="T66" s="64">
        <v>19.792100999999999</v>
      </c>
      <c r="U66" s="64">
        <v>19.801369000000001</v>
      </c>
      <c r="V66" s="64">
        <v>19.790552000000002</v>
      </c>
      <c r="W66" s="64">
        <v>19.813770000000002</v>
      </c>
      <c r="X66" s="64">
        <v>19.823812</v>
      </c>
      <c r="Y66" s="64">
        <v>19.819962</v>
      </c>
      <c r="Z66" s="64">
        <v>19.817592999999999</v>
      </c>
      <c r="AA66" s="64">
        <v>19.814734000000001</v>
      </c>
      <c r="AB66" s="64">
        <v>19.808729</v>
      </c>
      <c r="AC66" s="64">
        <v>19.816939999999999</v>
      </c>
      <c r="AD66" s="64">
        <v>19.822158999999999</v>
      </c>
      <c r="AE66" s="64">
        <v>19.832388000000002</v>
      </c>
      <c r="AF66" s="64">
        <v>19.856539000000001</v>
      </c>
      <c r="AG66" s="64">
        <v>19.880623</v>
      </c>
      <c r="AH66" s="64">
        <v>19.899242000000001</v>
      </c>
      <c r="AI66" s="64">
        <v>19.884989000000001</v>
      </c>
      <c r="AJ66" s="64">
        <v>19.887484000000001</v>
      </c>
      <c r="AK66" s="62">
        <v>2.8499999999999999E-4</v>
      </c>
    </row>
    <row r="67" spans="1:37" ht="15" customHeight="1">
      <c r="A67" s="56" t="s">
        <v>268</v>
      </c>
      <c r="B67" s="60" t="s">
        <v>269</v>
      </c>
      <c r="C67" s="64">
        <v>20.319486999999999</v>
      </c>
      <c r="D67" s="64">
        <v>19.866795</v>
      </c>
      <c r="E67" s="64">
        <v>19.877953000000002</v>
      </c>
      <c r="F67" s="64">
        <v>19.862864999999999</v>
      </c>
      <c r="G67" s="64">
        <v>19.866108000000001</v>
      </c>
      <c r="H67" s="64">
        <v>19.864163999999999</v>
      </c>
      <c r="I67" s="64">
        <v>19.86232</v>
      </c>
      <c r="J67" s="64">
        <v>19.858194000000001</v>
      </c>
      <c r="K67" s="64">
        <v>19.854407999999999</v>
      </c>
      <c r="L67" s="64">
        <v>19.851212</v>
      </c>
      <c r="M67" s="64">
        <v>19.848103999999999</v>
      </c>
      <c r="N67" s="64">
        <v>19.846712</v>
      </c>
      <c r="O67" s="64">
        <v>19.844584000000001</v>
      </c>
      <c r="P67" s="64">
        <v>19.843212000000001</v>
      </c>
      <c r="Q67" s="64">
        <v>19.839586000000001</v>
      </c>
      <c r="R67" s="64">
        <v>19.837956999999999</v>
      </c>
      <c r="S67" s="64">
        <v>19.837420999999999</v>
      </c>
      <c r="T67" s="64">
        <v>19.835992999999998</v>
      </c>
      <c r="U67" s="64">
        <v>19.833931</v>
      </c>
      <c r="V67" s="64">
        <v>19.832113</v>
      </c>
      <c r="W67" s="64">
        <v>19.829879999999999</v>
      </c>
      <c r="X67" s="64">
        <v>19.827466999999999</v>
      </c>
      <c r="Y67" s="64">
        <v>19.826221</v>
      </c>
      <c r="Z67" s="64">
        <v>19.825344000000001</v>
      </c>
      <c r="AA67" s="64">
        <v>19.824635000000001</v>
      </c>
      <c r="AB67" s="64">
        <v>19.824231999999999</v>
      </c>
      <c r="AC67" s="64">
        <v>19.824038999999999</v>
      </c>
      <c r="AD67" s="64">
        <v>19.823008999999999</v>
      </c>
      <c r="AE67" s="64">
        <v>19.821570999999999</v>
      </c>
      <c r="AF67" s="64">
        <v>19.888694999999998</v>
      </c>
      <c r="AG67" s="64">
        <v>19.887025999999999</v>
      </c>
      <c r="AH67" s="64">
        <v>19.885117999999999</v>
      </c>
      <c r="AI67" s="64">
        <v>19.883326</v>
      </c>
      <c r="AJ67" s="64">
        <v>19.881367000000001</v>
      </c>
      <c r="AK67" s="62">
        <v>2.3E-5</v>
      </c>
    </row>
    <row r="68" spans="1:37" ht="15" customHeight="1">
      <c r="A68" s="56" t="s">
        <v>270</v>
      </c>
      <c r="B68" s="60" t="s">
        <v>271</v>
      </c>
      <c r="C68" s="64">
        <v>20.775822000000002</v>
      </c>
      <c r="D68" s="64">
        <v>20.838132999999999</v>
      </c>
      <c r="E68" s="64">
        <v>20.733785999999998</v>
      </c>
      <c r="F68" s="64">
        <v>20.902740000000001</v>
      </c>
      <c r="G68" s="64">
        <v>20.866161000000002</v>
      </c>
      <c r="H68" s="64">
        <v>20.867376</v>
      </c>
      <c r="I68" s="64">
        <v>20.866620999999999</v>
      </c>
      <c r="J68" s="64">
        <v>20.916288000000002</v>
      </c>
      <c r="K68" s="64">
        <v>20.915384</v>
      </c>
      <c r="L68" s="64">
        <v>20.913564999999998</v>
      </c>
      <c r="M68" s="64">
        <v>20.910665999999999</v>
      </c>
      <c r="N68" s="64">
        <v>20.907888</v>
      </c>
      <c r="O68" s="64">
        <v>20.903262999999999</v>
      </c>
      <c r="P68" s="64">
        <v>20.898401</v>
      </c>
      <c r="Q68" s="64">
        <v>20.889793000000001</v>
      </c>
      <c r="R68" s="64">
        <v>20.836566999999999</v>
      </c>
      <c r="S68" s="64">
        <v>20.829412000000001</v>
      </c>
      <c r="T68" s="64">
        <v>20.823454000000002</v>
      </c>
      <c r="U68" s="64">
        <v>20.814209000000002</v>
      </c>
      <c r="V68" s="64">
        <v>20.812381999999999</v>
      </c>
      <c r="W68" s="64">
        <v>20.811678000000001</v>
      </c>
      <c r="X68" s="64">
        <v>20.809002</v>
      </c>
      <c r="Y68" s="64">
        <v>20.807103999999999</v>
      </c>
      <c r="Z68" s="64">
        <v>20.806034</v>
      </c>
      <c r="AA68" s="64">
        <v>20.806111999999999</v>
      </c>
      <c r="AB68" s="64">
        <v>20.804993</v>
      </c>
      <c r="AC68" s="64">
        <v>20.804296000000001</v>
      </c>
      <c r="AD68" s="64">
        <v>20.804532999999999</v>
      </c>
      <c r="AE68" s="64">
        <v>20.804535000000001</v>
      </c>
      <c r="AF68" s="64">
        <v>20.801072999999999</v>
      </c>
      <c r="AG68" s="64">
        <v>20.800825</v>
      </c>
      <c r="AH68" s="64">
        <v>20.800813999999999</v>
      </c>
      <c r="AI68" s="64">
        <v>20.801849000000001</v>
      </c>
      <c r="AJ68" s="64">
        <v>20.801618999999999</v>
      </c>
      <c r="AK68" s="62">
        <v>-5.5000000000000002E-5</v>
      </c>
    </row>
    <row r="69" spans="1:37" ht="15" customHeight="1">
      <c r="A69" s="56" t="s">
        <v>272</v>
      </c>
      <c r="B69" s="60" t="s">
        <v>273</v>
      </c>
      <c r="C69" s="64">
        <v>28.674879000000001</v>
      </c>
      <c r="D69" s="64">
        <v>28.554435999999999</v>
      </c>
      <c r="E69" s="64">
        <v>28.562546000000001</v>
      </c>
      <c r="F69" s="64">
        <v>28.504807</v>
      </c>
      <c r="G69" s="64">
        <v>28.443207000000001</v>
      </c>
      <c r="H69" s="64">
        <v>28.442011000000001</v>
      </c>
      <c r="I69" s="64">
        <v>28.435804000000001</v>
      </c>
      <c r="J69" s="64">
        <v>28.436997999999999</v>
      </c>
      <c r="K69" s="64">
        <v>28.439364999999999</v>
      </c>
      <c r="L69" s="64">
        <v>28.441151000000001</v>
      </c>
      <c r="M69" s="64">
        <v>28.441541999999998</v>
      </c>
      <c r="N69" s="64">
        <v>28.444378</v>
      </c>
      <c r="O69" s="64">
        <v>28.445307</v>
      </c>
      <c r="P69" s="64">
        <v>28.448008000000002</v>
      </c>
      <c r="Q69" s="64">
        <v>28.451091999999999</v>
      </c>
      <c r="R69" s="64">
        <v>28.453724000000001</v>
      </c>
      <c r="S69" s="64">
        <v>28.456078999999999</v>
      </c>
      <c r="T69" s="64">
        <v>28.459067999999998</v>
      </c>
      <c r="U69" s="64">
        <v>28.461366999999999</v>
      </c>
      <c r="V69" s="64">
        <v>28.462769000000002</v>
      </c>
      <c r="W69" s="64">
        <v>28.465333999999999</v>
      </c>
      <c r="X69" s="64">
        <v>28.467545999999999</v>
      </c>
      <c r="Y69" s="64">
        <v>28.468142</v>
      </c>
      <c r="Z69" s="64">
        <v>28.467697000000001</v>
      </c>
      <c r="AA69" s="64">
        <v>28.468544000000001</v>
      </c>
      <c r="AB69" s="64">
        <v>28.468433000000001</v>
      </c>
      <c r="AC69" s="64">
        <v>28.468116999999999</v>
      </c>
      <c r="AD69" s="64">
        <v>28.467950999999999</v>
      </c>
      <c r="AE69" s="64">
        <v>28.468955999999999</v>
      </c>
      <c r="AF69" s="64">
        <v>28.468081999999999</v>
      </c>
      <c r="AG69" s="64">
        <v>28.468615</v>
      </c>
      <c r="AH69" s="64">
        <v>28.468512</v>
      </c>
      <c r="AI69" s="64">
        <v>28.468487</v>
      </c>
      <c r="AJ69" s="64">
        <v>28.468031</v>
      </c>
      <c r="AK69" s="62">
        <v>-9.5000000000000005E-5</v>
      </c>
    </row>
    <row r="70" spans="1:37" ht="15" customHeight="1">
      <c r="A70" s="56" t="s">
        <v>274</v>
      </c>
      <c r="B70" s="60" t="s">
        <v>275</v>
      </c>
      <c r="C70" s="64">
        <v>18.994087</v>
      </c>
      <c r="D70" s="64">
        <v>19.243162000000002</v>
      </c>
      <c r="E70" s="64">
        <v>19.070353000000001</v>
      </c>
      <c r="F70" s="64">
        <v>19.169922</v>
      </c>
      <c r="G70" s="64">
        <v>19.089600000000001</v>
      </c>
      <c r="H70" s="64">
        <v>19.276790999999999</v>
      </c>
      <c r="I70" s="64">
        <v>19.411289</v>
      </c>
      <c r="J70" s="64">
        <v>19.366067999999999</v>
      </c>
      <c r="K70" s="64">
        <v>19.385352999999999</v>
      </c>
      <c r="L70" s="64">
        <v>19.372706999999998</v>
      </c>
      <c r="M70" s="64">
        <v>19.360990999999999</v>
      </c>
      <c r="N70" s="64">
        <v>19.352909</v>
      </c>
      <c r="O70" s="64">
        <v>19.300653000000001</v>
      </c>
      <c r="P70" s="64">
        <v>19.265913000000001</v>
      </c>
      <c r="Q70" s="64">
        <v>19.264596999999998</v>
      </c>
      <c r="R70" s="64">
        <v>19.290289000000001</v>
      </c>
      <c r="S70" s="64">
        <v>19.284327000000001</v>
      </c>
      <c r="T70" s="64">
        <v>19.280676</v>
      </c>
      <c r="U70" s="64">
        <v>19.290565000000001</v>
      </c>
      <c r="V70" s="64">
        <v>19.277930999999999</v>
      </c>
      <c r="W70" s="64">
        <v>19.296233999999998</v>
      </c>
      <c r="X70" s="64">
        <v>19.305914000000001</v>
      </c>
      <c r="Y70" s="64">
        <v>19.302322</v>
      </c>
      <c r="Z70" s="64">
        <v>19.303664999999999</v>
      </c>
      <c r="AA70" s="64">
        <v>19.298279000000001</v>
      </c>
      <c r="AB70" s="64">
        <v>19.294079</v>
      </c>
      <c r="AC70" s="64">
        <v>19.303532000000001</v>
      </c>
      <c r="AD70" s="64">
        <v>19.313279999999999</v>
      </c>
      <c r="AE70" s="64">
        <v>19.326996000000001</v>
      </c>
      <c r="AF70" s="64">
        <v>19.356915000000001</v>
      </c>
      <c r="AG70" s="64">
        <v>19.385812999999999</v>
      </c>
      <c r="AH70" s="64">
        <v>19.410371999999999</v>
      </c>
      <c r="AI70" s="64">
        <v>19.396623999999999</v>
      </c>
      <c r="AJ70" s="64">
        <v>19.402521</v>
      </c>
      <c r="AK70" s="62">
        <v>2.5799999999999998E-4</v>
      </c>
    </row>
    <row r="71" spans="1:37" ht="15" customHeight="1">
      <c r="A71" s="56" t="s">
        <v>276</v>
      </c>
      <c r="B71" s="60" t="s">
        <v>256</v>
      </c>
      <c r="C71" s="64">
        <v>22.116496999999999</v>
      </c>
      <c r="D71" s="64">
        <v>23.789541</v>
      </c>
      <c r="E71" s="64">
        <v>23.796752999999999</v>
      </c>
      <c r="F71" s="64">
        <v>23.826194999999998</v>
      </c>
      <c r="G71" s="64">
        <v>23.907088999999999</v>
      </c>
      <c r="H71" s="64">
        <v>23.930762999999999</v>
      </c>
      <c r="I71" s="64">
        <v>23.957257999999999</v>
      </c>
      <c r="J71" s="64">
        <v>23.986702000000001</v>
      </c>
      <c r="K71" s="64">
        <v>24.019024000000002</v>
      </c>
      <c r="L71" s="64">
        <v>24.054967999999999</v>
      </c>
      <c r="M71" s="64">
        <v>24.094473000000001</v>
      </c>
      <c r="N71" s="64">
        <v>24.137136000000002</v>
      </c>
      <c r="O71" s="64">
        <v>24.18609</v>
      </c>
      <c r="P71" s="64">
        <v>24.239874</v>
      </c>
      <c r="Q71" s="64">
        <v>24.258429</v>
      </c>
      <c r="R71" s="64">
        <v>24.257082</v>
      </c>
      <c r="S71" s="64">
        <v>24.255732999999999</v>
      </c>
      <c r="T71" s="64">
        <v>24.254387000000001</v>
      </c>
      <c r="U71" s="64">
        <v>24.253038</v>
      </c>
      <c r="V71" s="64">
        <v>24.25169</v>
      </c>
      <c r="W71" s="64">
        <v>24.250340999999999</v>
      </c>
      <c r="X71" s="64">
        <v>24.248991</v>
      </c>
      <c r="Y71" s="64">
        <v>24.247643</v>
      </c>
      <c r="Z71" s="64">
        <v>24.246292</v>
      </c>
      <c r="AA71" s="64">
        <v>24.244942000000002</v>
      </c>
      <c r="AB71" s="64">
        <v>24.243590999999999</v>
      </c>
      <c r="AC71" s="64">
        <v>24.242241</v>
      </c>
      <c r="AD71" s="64">
        <v>24.240888999999999</v>
      </c>
      <c r="AE71" s="64">
        <v>24.239538</v>
      </c>
      <c r="AF71" s="64">
        <v>24.238185999999999</v>
      </c>
      <c r="AG71" s="64">
        <v>24.236834000000002</v>
      </c>
      <c r="AH71" s="64">
        <v>24.235481</v>
      </c>
      <c r="AI71" s="64">
        <v>24.234128999999999</v>
      </c>
      <c r="AJ71" s="64">
        <v>24.232776999999999</v>
      </c>
      <c r="AK71" s="62">
        <v>5.7700000000000004E-4</v>
      </c>
    </row>
    <row r="72" spans="1:37" ht="15" customHeight="1">
      <c r="A72" s="56" t="s">
        <v>277</v>
      </c>
      <c r="B72" s="60" t="s">
        <v>258</v>
      </c>
      <c r="C72" s="64">
        <v>26.218889000000001</v>
      </c>
      <c r="D72" s="64">
        <v>25.447502</v>
      </c>
      <c r="E72" s="64">
        <v>25.630147999999998</v>
      </c>
      <c r="F72" s="64">
        <v>25.765919</v>
      </c>
      <c r="G72" s="64">
        <v>26.388355000000001</v>
      </c>
      <c r="H72" s="64">
        <v>26.396355</v>
      </c>
      <c r="I72" s="64">
        <v>26.389751</v>
      </c>
      <c r="J72" s="64">
        <v>26.391817</v>
      </c>
      <c r="K72" s="64">
        <v>26.385069000000001</v>
      </c>
      <c r="L72" s="64">
        <v>26.391817</v>
      </c>
      <c r="M72" s="64">
        <v>26.385069000000001</v>
      </c>
      <c r="N72" s="64">
        <v>26.175567999999998</v>
      </c>
      <c r="O72" s="64">
        <v>26.169689000000002</v>
      </c>
      <c r="P72" s="64">
        <v>25.926773000000001</v>
      </c>
      <c r="Q72" s="64">
        <v>25.745951000000002</v>
      </c>
      <c r="R72" s="64">
        <v>25.671246</v>
      </c>
      <c r="S72" s="64">
        <v>25.497976000000001</v>
      </c>
      <c r="T72" s="64">
        <v>25.343997999999999</v>
      </c>
      <c r="U72" s="64">
        <v>25.256226000000002</v>
      </c>
      <c r="V72" s="64">
        <v>25.173838</v>
      </c>
      <c r="W72" s="64">
        <v>25.175093</v>
      </c>
      <c r="X72" s="64">
        <v>25.077670999999999</v>
      </c>
      <c r="Y72" s="64">
        <v>24.968132000000001</v>
      </c>
      <c r="Z72" s="64">
        <v>24.865974000000001</v>
      </c>
      <c r="AA72" s="64">
        <v>24.881556</v>
      </c>
      <c r="AB72" s="64">
        <v>24.859068000000001</v>
      </c>
      <c r="AC72" s="64">
        <v>24.773596000000001</v>
      </c>
      <c r="AD72" s="64">
        <v>24.759015999999999</v>
      </c>
      <c r="AE72" s="64">
        <v>24.856954999999999</v>
      </c>
      <c r="AF72" s="64">
        <v>24.625306999999999</v>
      </c>
      <c r="AG72" s="64">
        <v>24.423266999999999</v>
      </c>
      <c r="AH72" s="64">
        <v>24.423266999999999</v>
      </c>
      <c r="AI72" s="64">
        <v>24.423266999999999</v>
      </c>
      <c r="AJ72" s="64">
        <v>24.423266999999999</v>
      </c>
      <c r="AK72" s="62">
        <v>-1.2830000000000001E-3</v>
      </c>
    </row>
    <row r="73" spans="1:37" ht="15" customHeight="1">
      <c r="A73" s="56" t="s">
        <v>278</v>
      </c>
      <c r="B73" s="60" t="s">
        <v>279</v>
      </c>
      <c r="C73" s="64">
        <v>0</v>
      </c>
      <c r="D73" s="64">
        <v>0</v>
      </c>
      <c r="E73" s="64">
        <v>0</v>
      </c>
      <c r="F73" s="64">
        <v>0</v>
      </c>
      <c r="G73" s="64">
        <v>0</v>
      </c>
      <c r="H73" s="64">
        <v>0</v>
      </c>
      <c r="I73" s="64">
        <v>0</v>
      </c>
      <c r="J73" s="64">
        <v>0</v>
      </c>
      <c r="K73" s="64">
        <v>0</v>
      </c>
      <c r="L73" s="64">
        <v>0</v>
      </c>
      <c r="M73" s="64">
        <v>0</v>
      </c>
      <c r="N73" s="64">
        <v>0</v>
      </c>
      <c r="O73" s="64">
        <v>0</v>
      </c>
      <c r="P73" s="64">
        <v>0</v>
      </c>
      <c r="Q73" s="64">
        <v>0</v>
      </c>
      <c r="R73" s="64">
        <v>0</v>
      </c>
      <c r="S73" s="64">
        <v>0</v>
      </c>
      <c r="T73" s="64">
        <v>0</v>
      </c>
      <c r="U73" s="64">
        <v>0</v>
      </c>
      <c r="V73" s="64">
        <v>0</v>
      </c>
      <c r="W73" s="64">
        <v>0</v>
      </c>
      <c r="X73" s="64">
        <v>0</v>
      </c>
      <c r="Y73" s="64">
        <v>0</v>
      </c>
      <c r="Z73" s="64">
        <v>0</v>
      </c>
      <c r="AA73" s="64">
        <v>0</v>
      </c>
      <c r="AB73" s="64">
        <v>0</v>
      </c>
      <c r="AC73" s="64">
        <v>0</v>
      </c>
      <c r="AD73" s="64">
        <v>0</v>
      </c>
      <c r="AE73" s="64">
        <v>0</v>
      </c>
      <c r="AF73" s="64">
        <v>0</v>
      </c>
      <c r="AG73" s="64">
        <v>0</v>
      </c>
      <c r="AH73" s="64">
        <v>0</v>
      </c>
      <c r="AI73" s="64">
        <v>0</v>
      </c>
      <c r="AJ73" s="64">
        <v>0</v>
      </c>
      <c r="AK73" s="62" t="s">
        <v>164</v>
      </c>
    </row>
    <row r="74" spans="1:37" ht="15" customHeight="1">
      <c r="A74" s="56" t="s">
        <v>280</v>
      </c>
      <c r="B74" s="60" t="s">
        <v>281</v>
      </c>
      <c r="C74" s="64">
        <v>12.941471999999999</v>
      </c>
      <c r="D74" s="64">
        <v>11.314271</v>
      </c>
      <c r="E74" s="64">
        <v>11.31427</v>
      </c>
      <c r="F74" s="64">
        <v>11.31427</v>
      </c>
      <c r="G74" s="64">
        <v>11.31427</v>
      </c>
      <c r="H74" s="64">
        <v>11.31427</v>
      </c>
      <c r="I74" s="64">
        <v>11.31427</v>
      </c>
      <c r="J74" s="64">
        <v>11.31427</v>
      </c>
      <c r="K74" s="64">
        <v>11.314271</v>
      </c>
      <c r="L74" s="64">
        <v>11.314271</v>
      </c>
      <c r="M74" s="64">
        <v>11.31427</v>
      </c>
      <c r="N74" s="64">
        <v>11.31427</v>
      </c>
      <c r="O74" s="64">
        <v>11.31427</v>
      </c>
      <c r="P74" s="64">
        <v>11.314271</v>
      </c>
      <c r="Q74" s="64">
        <v>11.314271</v>
      </c>
      <c r="R74" s="64">
        <v>11.31427</v>
      </c>
      <c r="S74" s="64">
        <v>11.31427</v>
      </c>
      <c r="T74" s="64">
        <v>11.31427</v>
      </c>
      <c r="U74" s="64">
        <v>11.314271</v>
      </c>
      <c r="V74" s="64">
        <v>11.31427</v>
      </c>
      <c r="W74" s="64">
        <v>11.31427</v>
      </c>
      <c r="X74" s="64">
        <v>11.314271</v>
      </c>
      <c r="Y74" s="64">
        <v>11.314271</v>
      </c>
      <c r="Z74" s="64">
        <v>11.31427</v>
      </c>
      <c r="AA74" s="64">
        <v>11.314271</v>
      </c>
      <c r="AB74" s="64">
        <v>11.314271</v>
      </c>
      <c r="AC74" s="64">
        <v>11.31427</v>
      </c>
      <c r="AD74" s="64">
        <v>11.314271</v>
      </c>
      <c r="AE74" s="64">
        <v>11.31427</v>
      </c>
      <c r="AF74" s="64">
        <v>11.31427</v>
      </c>
      <c r="AG74" s="64">
        <v>11.31427</v>
      </c>
      <c r="AH74" s="64">
        <v>11.314271</v>
      </c>
      <c r="AI74" s="64">
        <v>11.314271</v>
      </c>
      <c r="AJ74" s="64">
        <v>11.314271</v>
      </c>
      <c r="AK74" s="62">
        <v>0</v>
      </c>
    </row>
    <row r="76" spans="1:37" ht="15" customHeight="1">
      <c r="A76" s="56" t="s">
        <v>282</v>
      </c>
      <c r="B76" s="59" t="s">
        <v>283</v>
      </c>
      <c r="C76" s="65">
        <v>3412</v>
      </c>
      <c r="D76" s="65">
        <v>3412</v>
      </c>
      <c r="E76" s="65">
        <v>3412</v>
      </c>
      <c r="F76" s="65">
        <v>3412</v>
      </c>
      <c r="G76" s="65">
        <v>3412</v>
      </c>
      <c r="H76" s="65">
        <v>3412</v>
      </c>
      <c r="I76" s="65">
        <v>3412</v>
      </c>
      <c r="J76" s="65">
        <v>3412</v>
      </c>
      <c r="K76" s="65">
        <v>3412</v>
      </c>
      <c r="L76" s="65">
        <v>3412</v>
      </c>
      <c r="M76" s="65">
        <v>3412</v>
      </c>
      <c r="N76" s="65">
        <v>3412</v>
      </c>
      <c r="O76" s="65">
        <v>3412</v>
      </c>
      <c r="P76" s="65">
        <v>3412</v>
      </c>
      <c r="Q76" s="65">
        <v>3412</v>
      </c>
      <c r="R76" s="65">
        <v>3412</v>
      </c>
      <c r="S76" s="65">
        <v>3412</v>
      </c>
      <c r="T76" s="65">
        <v>3412</v>
      </c>
      <c r="U76" s="65">
        <v>3412</v>
      </c>
      <c r="V76" s="65">
        <v>3412</v>
      </c>
      <c r="W76" s="65">
        <v>3412</v>
      </c>
      <c r="X76" s="65">
        <v>3412</v>
      </c>
      <c r="Y76" s="65">
        <v>3412</v>
      </c>
      <c r="Z76" s="65">
        <v>3412</v>
      </c>
      <c r="AA76" s="65">
        <v>3412</v>
      </c>
      <c r="AB76" s="65">
        <v>3412</v>
      </c>
      <c r="AC76" s="65">
        <v>3412</v>
      </c>
      <c r="AD76" s="65">
        <v>3412</v>
      </c>
      <c r="AE76" s="65">
        <v>3412</v>
      </c>
      <c r="AF76" s="65">
        <v>3412</v>
      </c>
      <c r="AG76" s="65">
        <v>3412</v>
      </c>
      <c r="AH76" s="65">
        <v>3412</v>
      </c>
      <c r="AI76" s="65">
        <v>3412</v>
      </c>
      <c r="AJ76" s="65">
        <v>3412</v>
      </c>
      <c r="AK76" s="66">
        <v>0</v>
      </c>
    </row>
    <row r="77" spans="1:37" ht="15" customHeight="1" thickBot="1"/>
    <row r="78" spans="1:37" ht="15" customHeight="1">
      <c r="B78" s="474" t="s">
        <v>284</v>
      </c>
      <c r="C78" s="474"/>
      <c r="D78" s="474"/>
      <c r="E78" s="474"/>
      <c r="F78" s="474"/>
      <c r="G78" s="474"/>
      <c r="H78" s="474"/>
      <c r="I78" s="474"/>
      <c r="J78" s="474"/>
      <c r="K78" s="474"/>
      <c r="L78" s="474"/>
      <c r="M78" s="474"/>
      <c r="N78" s="474"/>
      <c r="O78" s="474"/>
      <c r="P78" s="474"/>
      <c r="Q78" s="474"/>
      <c r="R78" s="474"/>
      <c r="S78" s="474"/>
      <c r="T78" s="474"/>
      <c r="U78" s="474"/>
      <c r="V78" s="474"/>
      <c r="W78" s="474"/>
      <c r="X78" s="474"/>
      <c r="Y78" s="474"/>
      <c r="Z78" s="474"/>
      <c r="AA78" s="474"/>
      <c r="AB78" s="474"/>
      <c r="AC78" s="474"/>
      <c r="AD78" s="474"/>
      <c r="AE78" s="474"/>
      <c r="AF78" s="474"/>
      <c r="AG78" s="474"/>
      <c r="AH78" s="474"/>
      <c r="AI78" s="474"/>
      <c r="AJ78" s="474"/>
      <c r="AK78" s="474"/>
    </row>
    <row r="79" spans="1:37" ht="15" customHeight="1">
      <c r="B79" s="67" t="s">
        <v>285</v>
      </c>
    </row>
    <row r="80" spans="1:37" ht="15" customHeight="1">
      <c r="B80" s="67" t="s">
        <v>286</v>
      </c>
    </row>
    <row r="81" spans="2:10" ht="15" customHeight="1">
      <c r="B81" s="67" t="s">
        <v>166</v>
      </c>
    </row>
    <row r="82" spans="2:10" ht="15" customHeight="1">
      <c r="B82" s="67" t="s">
        <v>287</v>
      </c>
    </row>
    <row r="83" spans="2:10" ht="15" customHeight="1">
      <c r="B83" s="67" t="s">
        <v>288</v>
      </c>
    </row>
    <row r="84" spans="2:10" ht="15" customHeight="1">
      <c r="B84" s="67" t="s">
        <v>167</v>
      </c>
      <c r="J84" s="52">
        <f>630*1000*1000000</f>
        <v>630000000000</v>
      </c>
    </row>
    <row r="85" spans="2:10" ht="15" customHeight="1">
      <c r="B85" s="67" t="s">
        <v>168</v>
      </c>
    </row>
  </sheetData>
  <mergeCells count="1">
    <mergeCell ref="B78:AK78"/>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D14" sqref="D14"/>
    </sheetView>
  </sheetViews>
  <sheetFormatPr defaultColWidth="10.6640625" defaultRowHeight="14.25"/>
  <cols>
    <col min="2" max="2" width="68.1328125" bestFit="1" customWidth="1"/>
    <col min="3" max="3" width="71.796875" bestFit="1" customWidth="1"/>
    <col min="5" max="5" width="37.1328125" bestFit="1" customWidth="1"/>
    <col min="6" max="6" width="11.796875" bestFit="1" customWidth="1"/>
  </cols>
  <sheetData>
    <row r="1" spans="1:5" s="8" customFormat="1">
      <c r="A1" s="2" t="s">
        <v>961</v>
      </c>
    </row>
    <row r="2" spans="1:5" ht="17.649999999999999">
      <c r="A2" s="154"/>
      <c r="B2" s="5"/>
      <c r="C2" s="5"/>
      <c r="D2" s="5"/>
      <c r="E2" s="5"/>
    </row>
    <row r="3" spans="1:5" s="8" customFormat="1" ht="15.4">
      <c r="A3" s="193" t="s">
        <v>962</v>
      </c>
      <c r="B3" s="194"/>
      <c r="C3" s="194"/>
      <c r="D3" s="194"/>
      <c r="E3" s="194"/>
    </row>
    <row r="4" spans="1:5" ht="15.4">
      <c r="A4" s="191"/>
      <c r="B4" s="155"/>
      <c r="C4" s="155"/>
      <c r="D4" s="155"/>
      <c r="E4" s="155"/>
    </row>
    <row r="5" spans="1:5">
      <c r="A5" s="192"/>
      <c r="B5" s="155"/>
      <c r="C5" s="155"/>
      <c r="D5" s="155"/>
      <c r="E5" s="155"/>
    </row>
    <row r="6" spans="1:5">
      <c r="A6" s="156" t="s">
        <v>928</v>
      </c>
      <c r="B6" s="157" t="s">
        <v>929</v>
      </c>
      <c r="C6" s="158" t="s">
        <v>930</v>
      </c>
      <c r="D6" s="157" t="s">
        <v>931</v>
      </c>
      <c r="E6" s="157" t="s">
        <v>932</v>
      </c>
    </row>
    <row r="7" spans="1:5">
      <c r="A7" s="159" t="s">
        <v>933</v>
      </c>
      <c r="B7" s="160" t="s">
        <v>927</v>
      </c>
      <c r="C7" s="161">
        <v>1</v>
      </c>
      <c r="D7" s="160" t="s">
        <v>934</v>
      </c>
      <c r="E7" s="160">
        <v>2019</v>
      </c>
    </row>
    <row r="8" spans="1:5" s="5" customFormat="1">
      <c r="A8" s="159" t="s">
        <v>933</v>
      </c>
      <c r="B8" s="160" t="s">
        <v>948</v>
      </c>
      <c r="C8" s="161">
        <v>1</v>
      </c>
      <c r="D8" s="160" t="s">
        <v>934</v>
      </c>
      <c r="E8" s="160">
        <v>2019</v>
      </c>
    </row>
    <row r="10" spans="1:5" s="5" customFormat="1"/>
    <row r="11" spans="1:5" s="5" customFormat="1">
      <c r="A11" s="5" t="s">
        <v>953</v>
      </c>
      <c r="C11" s="5" t="s">
        <v>954</v>
      </c>
    </row>
    <row r="12" spans="1:5">
      <c r="A12" s="5" t="s">
        <v>935</v>
      </c>
      <c r="B12" s="155" t="s">
        <v>936</v>
      </c>
      <c r="C12" s="5" t="s">
        <v>935</v>
      </c>
      <c r="D12" s="155" t="s">
        <v>936</v>
      </c>
      <c r="E12" s="5"/>
    </row>
    <row r="13" spans="1:5">
      <c r="A13" s="5" t="s">
        <v>937</v>
      </c>
      <c r="B13" s="155" t="s">
        <v>938</v>
      </c>
      <c r="C13" s="5" t="s">
        <v>937</v>
      </c>
      <c r="D13" s="155" t="s">
        <v>938</v>
      </c>
      <c r="E13" s="5"/>
    </row>
    <row r="14" spans="1:5">
      <c r="A14" s="5" t="s">
        <v>939</v>
      </c>
      <c r="B14" s="162" t="s">
        <v>940</v>
      </c>
      <c r="C14" s="5" t="s">
        <v>939</v>
      </c>
      <c r="D14" s="162" t="s">
        <v>949</v>
      </c>
      <c r="E14" s="5"/>
    </row>
    <row r="15" spans="1:5">
      <c r="A15" s="5" t="s">
        <v>941</v>
      </c>
      <c r="B15" s="163" t="s">
        <v>942</v>
      </c>
      <c r="C15" s="5" t="s">
        <v>941</v>
      </c>
      <c r="D15" s="163" t="s">
        <v>950</v>
      </c>
      <c r="E15" s="5"/>
    </row>
    <row r="16" spans="1:5">
      <c r="A16" s="5" t="s">
        <v>943</v>
      </c>
      <c r="B16" s="163" t="s">
        <v>2</v>
      </c>
      <c r="C16" s="5" t="s">
        <v>943</v>
      </c>
      <c r="D16" s="163" t="s">
        <v>2</v>
      </c>
      <c r="E16" s="5"/>
    </row>
    <row r="17" spans="1:8">
      <c r="A17" s="5" t="s">
        <v>944</v>
      </c>
      <c r="B17" s="163" t="s">
        <v>945</v>
      </c>
      <c r="C17" s="5" t="s">
        <v>944</v>
      </c>
      <c r="D17" s="163" t="s">
        <v>945</v>
      </c>
      <c r="E17" s="5"/>
      <c r="H17" s="153"/>
    </row>
    <row r="18" spans="1:8">
      <c r="A18" s="5"/>
      <c r="B18" s="5" t="s">
        <v>946</v>
      </c>
      <c r="C18" s="5"/>
      <c r="D18" s="5" t="s">
        <v>946</v>
      </c>
      <c r="E18" s="164" t="s">
        <v>947</v>
      </c>
      <c r="H18" s="153"/>
    </row>
    <row r="19" spans="1:8">
      <c r="A19" s="5"/>
      <c r="B19" s="5"/>
      <c r="C19" s="5"/>
      <c r="D19" s="5"/>
      <c r="E19" s="5"/>
      <c r="H19" s="153"/>
    </row>
    <row r="20" spans="1:8" ht="14.65" thickBot="1">
      <c r="A20" s="5"/>
      <c r="B20" s="5"/>
      <c r="C20" s="152"/>
      <c r="D20" s="5"/>
      <c r="E20" s="5"/>
      <c r="H20" s="153"/>
    </row>
    <row r="21" spans="1:8" ht="15.4">
      <c r="A21" s="172"/>
      <c r="B21" s="173" t="s">
        <v>976</v>
      </c>
      <c r="C21" s="173" t="s">
        <v>977</v>
      </c>
      <c r="D21" s="174"/>
      <c r="E21" s="185"/>
      <c r="F21" s="185"/>
      <c r="H21" s="153"/>
    </row>
    <row r="22" spans="1:8">
      <c r="A22" s="175" t="s">
        <v>924</v>
      </c>
      <c r="B22" s="176" t="s">
        <v>925</v>
      </c>
      <c r="C22" s="176" t="s">
        <v>951</v>
      </c>
      <c r="D22" s="177"/>
      <c r="E22" s="186"/>
      <c r="F22" s="186"/>
      <c r="H22" s="153"/>
    </row>
    <row r="23" spans="1:8" ht="26.65">
      <c r="A23" s="178" t="s">
        <v>926</v>
      </c>
      <c r="B23" s="179" t="s">
        <v>927</v>
      </c>
      <c r="C23" s="179" t="s">
        <v>948</v>
      </c>
      <c r="D23" s="177"/>
      <c r="E23" s="199" t="s">
        <v>952</v>
      </c>
      <c r="F23" s="187" t="s">
        <v>958</v>
      </c>
      <c r="H23" s="153"/>
    </row>
    <row r="24" spans="1:8">
      <c r="A24" s="180">
        <v>38533</v>
      </c>
      <c r="B24" s="177">
        <v>211405</v>
      </c>
      <c r="C24" s="177">
        <v>1273303</v>
      </c>
      <c r="D24" s="177"/>
      <c r="E24" s="183">
        <f t="shared" ref="E24:E38" si="0">B24+C24</f>
        <v>1484708</v>
      </c>
      <c r="F24" s="183">
        <f>E24*5800000*1000</f>
        <v>8611306400000000</v>
      </c>
      <c r="H24" s="153"/>
    </row>
    <row r="25" spans="1:8">
      <c r="A25" s="180">
        <v>38898</v>
      </c>
      <c r="B25" s="177">
        <v>222737</v>
      </c>
      <c r="C25" s="177">
        <v>1257388</v>
      </c>
      <c r="D25" s="177"/>
      <c r="E25" s="183">
        <f t="shared" si="0"/>
        <v>1480125</v>
      </c>
      <c r="F25" s="183">
        <f t="shared" ref="F25:F38" si="1">E25*5800000*1000</f>
        <v>8584725000000000</v>
      </c>
      <c r="H25" s="153"/>
    </row>
    <row r="26" spans="1:8">
      <c r="A26" s="180">
        <v>39263</v>
      </c>
      <c r="B26" s="177">
        <v>208012</v>
      </c>
      <c r="C26" s="177">
        <v>1247080</v>
      </c>
      <c r="D26" s="177"/>
      <c r="E26" s="183">
        <f t="shared" si="0"/>
        <v>1455092</v>
      </c>
      <c r="F26" s="183">
        <f t="shared" si="1"/>
        <v>8439533600000000</v>
      </c>
      <c r="H26" s="153"/>
    </row>
    <row r="27" spans="1:8">
      <c r="A27" s="180">
        <v>39629</v>
      </c>
      <c r="B27" s="177">
        <v>213901</v>
      </c>
      <c r="C27" s="177">
        <v>1199198</v>
      </c>
      <c r="D27" s="177"/>
      <c r="E27" s="183">
        <f t="shared" si="0"/>
        <v>1413099</v>
      </c>
      <c r="F27" s="183">
        <f t="shared" si="1"/>
        <v>8195974200000000</v>
      </c>
      <c r="H27" s="153"/>
    </row>
    <row r="28" spans="1:8">
      <c r="A28" s="180">
        <v>39994</v>
      </c>
      <c r="B28" s="177">
        <v>203507</v>
      </c>
      <c r="C28" s="177">
        <v>1243683</v>
      </c>
      <c r="D28" s="177"/>
      <c r="E28" s="183">
        <f t="shared" si="0"/>
        <v>1447190</v>
      </c>
      <c r="F28" s="183">
        <f t="shared" si="1"/>
        <v>8393702000000000</v>
      </c>
      <c r="H28" s="153"/>
    </row>
    <row r="29" spans="1:8">
      <c r="A29" s="180">
        <v>40359</v>
      </c>
      <c r="B29" s="177">
        <v>206314</v>
      </c>
      <c r="C29" s="177">
        <v>1317127</v>
      </c>
      <c r="D29" s="177"/>
      <c r="E29" s="183">
        <f t="shared" si="0"/>
        <v>1523441</v>
      </c>
      <c r="F29" s="183">
        <f t="shared" si="1"/>
        <v>8835957800000000</v>
      </c>
      <c r="H29" s="153"/>
    </row>
    <row r="30" spans="1:8">
      <c r="A30" s="180">
        <v>40724</v>
      </c>
      <c r="B30" s="177">
        <v>219246</v>
      </c>
      <c r="C30" s="177">
        <v>1262774</v>
      </c>
      <c r="D30" s="177"/>
      <c r="E30" s="183">
        <f t="shared" si="0"/>
        <v>1482020</v>
      </c>
      <c r="F30" s="183">
        <f t="shared" si="1"/>
        <v>8595716000000000</v>
      </c>
      <c r="H30" s="153"/>
    </row>
    <row r="31" spans="1:8">
      <c r="A31" s="180">
        <v>41090</v>
      </c>
      <c r="B31" s="177">
        <v>224018</v>
      </c>
      <c r="C31" s="177">
        <v>1356678</v>
      </c>
      <c r="D31" s="177"/>
      <c r="E31" s="183">
        <f t="shared" si="0"/>
        <v>1580696</v>
      </c>
      <c r="F31" s="183">
        <f t="shared" si="1"/>
        <v>9168036800000000</v>
      </c>
      <c r="H31" s="153"/>
    </row>
    <row r="32" spans="1:8">
      <c r="A32" s="180">
        <v>41455</v>
      </c>
      <c r="B32" s="177">
        <v>233516</v>
      </c>
      <c r="C32" s="177">
        <v>1430966</v>
      </c>
      <c r="D32" s="177"/>
      <c r="E32" s="183">
        <f t="shared" si="0"/>
        <v>1664482</v>
      </c>
      <c r="F32" s="183">
        <f t="shared" si="1"/>
        <v>9653995600000000</v>
      </c>
    </row>
    <row r="33" spans="1:6">
      <c r="A33" s="180">
        <v>41820</v>
      </c>
      <c r="B33" s="177">
        <v>237215</v>
      </c>
      <c r="C33" s="177">
        <v>1483021</v>
      </c>
      <c r="D33" s="177"/>
      <c r="E33" s="183">
        <f t="shared" si="0"/>
        <v>1720236</v>
      </c>
      <c r="F33" s="183">
        <f t="shared" si="1"/>
        <v>9977368800000000</v>
      </c>
    </row>
    <row r="34" spans="1:6">
      <c r="A34" s="180">
        <v>42185</v>
      </c>
      <c r="B34" s="177">
        <v>239118</v>
      </c>
      <c r="C34" s="177">
        <v>1537660</v>
      </c>
      <c r="D34" s="177"/>
      <c r="E34" s="183">
        <f t="shared" si="0"/>
        <v>1776778</v>
      </c>
      <c r="F34" s="183">
        <f t="shared" si="1"/>
        <v>1.03053124E+16</v>
      </c>
    </row>
    <row r="35" spans="1:6">
      <c r="A35" s="180">
        <v>42551</v>
      </c>
      <c r="B35" s="177">
        <v>249234</v>
      </c>
      <c r="C35" s="177">
        <v>1525835</v>
      </c>
      <c r="D35" s="177"/>
      <c r="E35" s="183">
        <f t="shared" si="0"/>
        <v>1775069</v>
      </c>
      <c r="F35" s="183">
        <f t="shared" si="1"/>
        <v>1.02954002E+16</v>
      </c>
    </row>
    <row r="36" spans="1:6">
      <c r="A36" s="180">
        <v>42916</v>
      </c>
      <c r="B36" s="177">
        <v>241357</v>
      </c>
      <c r="C36" s="177">
        <v>1576244</v>
      </c>
      <c r="D36" s="177"/>
      <c r="E36" s="183">
        <f t="shared" si="0"/>
        <v>1817601</v>
      </c>
      <c r="F36" s="183">
        <f t="shared" si="1"/>
        <v>1.05420858E+16</v>
      </c>
    </row>
    <row r="37" spans="1:6">
      <c r="A37" s="180">
        <v>43281</v>
      </c>
      <c r="B37" s="177">
        <v>244843</v>
      </c>
      <c r="C37" s="177">
        <v>1684119</v>
      </c>
      <c r="D37" s="177"/>
      <c r="E37" s="183">
        <f t="shared" si="0"/>
        <v>1928962</v>
      </c>
      <c r="F37" s="183">
        <f t="shared" si="1"/>
        <v>1.11879796E+16</v>
      </c>
    </row>
    <row r="38" spans="1:6" ht="14.65" thickBot="1">
      <c r="A38" s="181">
        <v>43646</v>
      </c>
      <c r="B38" s="182">
        <v>254158</v>
      </c>
      <c r="C38" s="182">
        <v>1608598</v>
      </c>
      <c r="D38" s="182"/>
      <c r="E38" s="184">
        <f t="shared" si="0"/>
        <v>1862756</v>
      </c>
      <c r="F38" s="184">
        <f t="shared" si="1"/>
        <v>1.08039848E+16</v>
      </c>
    </row>
    <row r="39" spans="1:6" ht="15.75">
      <c r="A39" s="150"/>
      <c r="B39" s="150"/>
      <c r="C39" s="150"/>
      <c r="E39" s="151" t="s">
        <v>974</v>
      </c>
    </row>
    <row r="40" spans="1:6" ht="15.75">
      <c r="A40" s="165"/>
      <c r="B40" s="165"/>
      <c r="C40" s="165"/>
      <c r="D40" s="26"/>
      <c r="E40" s="166" t="s">
        <v>982</v>
      </c>
    </row>
    <row r="41" spans="1:6" s="196" customFormat="1" ht="15.75">
      <c r="A41" s="198" t="s">
        <v>963</v>
      </c>
      <c r="B41" s="195"/>
      <c r="C41" s="195"/>
      <c r="E41" s="197"/>
    </row>
    <row r="42" spans="1:6" ht="17.649999999999999">
      <c r="A42" s="167"/>
      <c r="B42" s="26"/>
      <c r="C42" s="26"/>
      <c r="D42" s="26"/>
      <c r="E42" s="26"/>
    </row>
    <row r="43" spans="1:6">
      <c r="A43" s="5" t="s">
        <v>964</v>
      </c>
      <c r="B43" s="5"/>
      <c r="C43" s="5"/>
      <c r="D43" s="168"/>
      <c r="E43" s="168"/>
    </row>
    <row r="44" spans="1:6">
      <c r="A44" s="5" t="s">
        <v>960</v>
      </c>
      <c r="B44" s="5"/>
      <c r="C44" s="5"/>
      <c r="D44" s="168"/>
      <c r="E44" s="168"/>
    </row>
    <row r="45" spans="1:6">
      <c r="A45" s="5" t="s">
        <v>965</v>
      </c>
      <c r="B45" s="5"/>
      <c r="C45" s="5"/>
      <c r="D45" s="168"/>
      <c r="E45" s="168"/>
    </row>
    <row r="46" spans="1:6">
      <c r="A46" s="5" t="s">
        <v>533</v>
      </c>
      <c r="B46" s="5"/>
      <c r="C46" s="5"/>
      <c r="D46" s="170"/>
      <c r="E46" s="170"/>
    </row>
    <row r="47" spans="1:6">
      <c r="A47" s="5" t="s">
        <v>917</v>
      </c>
      <c r="B47" s="132" t="s">
        <v>966</v>
      </c>
      <c r="C47" s="5"/>
      <c r="D47" s="169"/>
      <c r="E47" s="169"/>
    </row>
    <row r="48" spans="1:6" ht="14.65" thickBot="1">
      <c r="A48" s="5" t="s">
        <v>918</v>
      </c>
      <c r="B48" s="5" t="s">
        <v>967</v>
      </c>
      <c r="C48" s="5"/>
      <c r="D48" s="26"/>
      <c r="E48" s="26"/>
    </row>
    <row r="49" spans="1:5">
      <c r="A49" s="203" t="s">
        <v>0</v>
      </c>
      <c r="B49" s="204" t="s">
        <v>968</v>
      </c>
      <c r="C49" s="202" t="s">
        <v>969</v>
      </c>
      <c r="D49" s="26"/>
      <c r="E49" s="26"/>
    </row>
    <row r="50" spans="1:5">
      <c r="A50" s="205">
        <v>2018</v>
      </c>
      <c r="B50" s="177">
        <v>103783</v>
      </c>
      <c r="C50" s="183">
        <f>B50*1.039*1000000000</f>
        <v>107830537000000</v>
      </c>
      <c r="D50" s="26"/>
      <c r="E50" s="26"/>
    </row>
    <row r="51" spans="1:5">
      <c r="A51" s="205">
        <v>2017</v>
      </c>
      <c r="B51" s="177">
        <v>84470</v>
      </c>
      <c r="C51" s="183">
        <f>B51*1.039*1000000000</f>
        <v>87764329999999.984</v>
      </c>
      <c r="D51" s="26"/>
      <c r="E51" s="26"/>
    </row>
    <row r="52" spans="1:5">
      <c r="A52" s="205">
        <v>2016</v>
      </c>
      <c r="B52" s="177">
        <v>85527</v>
      </c>
      <c r="C52" s="183">
        <f t="shared" ref="C52:C71" si="2">B52*1.039*1000000000</f>
        <v>88862553000000</v>
      </c>
      <c r="D52" s="26"/>
      <c r="E52" s="26"/>
    </row>
    <row r="53" spans="1:5">
      <c r="A53" s="205">
        <v>2015</v>
      </c>
      <c r="B53" s="177">
        <v>84874</v>
      </c>
      <c r="C53" s="183">
        <f t="shared" si="2"/>
        <v>88184086000000</v>
      </c>
      <c r="D53" s="26"/>
      <c r="E53" s="26"/>
    </row>
    <row r="54" spans="1:5">
      <c r="A54" s="205">
        <v>2014</v>
      </c>
      <c r="B54" s="177">
        <v>101296</v>
      </c>
      <c r="C54" s="183">
        <f t="shared" si="2"/>
        <v>105246544000000</v>
      </c>
      <c r="D54" s="26"/>
      <c r="E54" s="26"/>
    </row>
    <row r="55" spans="1:5">
      <c r="A55" s="205">
        <v>2013</v>
      </c>
      <c r="B55" s="177">
        <v>294316</v>
      </c>
      <c r="C55" s="183">
        <f t="shared" si="2"/>
        <v>305794323999999.94</v>
      </c>
      <c r="D55" s="26"/>
      <c r="E55" s="171"/>
    </row>
    <row r="56" spans="1:5">
      <c r="A56" s="205">
        <v>2012</v>
      </c>
      <c r="B56" s="177">
        <v>138429</v>
      </c>
      <c r="C56" s="183">
        <f t="shared" si="2"/>
        <v>143827731000000</v>
      </c>
      <c r="D56" s="26"/>
      <c r="E56" s="26"/>
    </row>
    <row r="57" spans="1:5">
      <c r="A57" s="205">
        <v>2011</v>
      </c>
      <c r="B57" s="177">
        <v>85549</v>
      </c>
      <c r="C57" s="183">
        <f t="shared" si="2"/>
        <v>88885411000000</v>
      </c>
      <c r="D57" s="26"/>
      <c r="E57" s="26"/>
    </row>
    <row r="58" spans="1:5">
      <c r="A58" s="205">
        <v>2010</v>
      </c>
      <c r="B58" s="177">
        <v>79817</v>
      </c>
      <c r="C58" s="183">
        <f t="shared" si="2"/>
        <v>82929863000000</v>
      </c>
      <c r="D58" s="26"/>
      <c r="E58" s="166"/>
    </row>
    <row r="59" spans="1:5">
      <c r="A59" s="205">
        <v>2009</v>
      </c>
      <c r="B59" s="177">
        <v>117219</v>
      </c>
      <c r="C59" s="183">
        <f t="shared" si="2"/>
        <v>121790541000000</v>
      </c>
      <c r="E59" s="151"/>
    </row>
    <row r="60" spans="1:5">
      <c r="A60" s="205">
        <v>2008</v>
      </c>
      <c r="B60" s="177">
        <v>109488</v>
      </c>
      <c r="C60" s="183">
        <f t="shared" si="2"/>
        <v>113758031999999.98</v>
      </c>
      <c r="E60" s="151"/>
    </row>
    <row r="61" spans="1:5">
      <c r="A61" s="205">
        <v>2007</v>
      </c>
      <c r="B61" s="177">
        <v>89666</v>
      </c>
      <c r="C61" s="183">
        <f t="shared" si="2"/>
        <v>93162973999999.984</v>
      </c>
      <c r="E61" s="151"/>
    </row>
    <row r="62" spans="1:5">
      <c r="A62" s="205">
        <v>2006</v>
      </c>
      <c r="B62" s="177">
        <v>85262</v>
      </c>
      <c r="C62" s="183">
        <f t="shared" si="2"/>
        <v>88587218000000</v>
      </c>
      <c r="E62" s="151"/>
    </row>
    <row r="63" spans="1:5">
      <c r="A63" s="205">
        <v>2005</v>
      </c>
      <c r="B63" s="177">
        <v>81263</v>
      </c>
      <c r="C63" s="183">
        <f t="shared" si="2"/>
        <v>84432257000000</v>
      </c>
      <c r="E63" s="151"/>
    </row>
    <row r="64" spans="1:5">
      <c r="A64" s="205">
        <v>2004</v>
      </c>
      <c r="B64" s="177">
        <v>55587</v>
      </c>
      <c r="C64" s="183">
        <f t="shared" si="2"/>
        <v>57754893000000</v>
      </c>
      <c r="E64" s="151"/>
    </row>
    <row r="65" spans="1:5">
      <c r="A65" s="205">
        <v>2003</v>
      </c>
      <c r="B65" s="177">
        <v>56197</v>
      </c>
      <c r="C65" s="183">
        <f t="shared" si="2"/>
        <v>58388683000000</v>
      </c>
      <c r="E65" s="151"/>
    </row>
    <row r="66" spans="1:5">
      <c r="A66" s="205">
        <v>2002</v>
      </c>
      <c r="B66" s="177">
        <v>88973</v>
      </c>
      <c r="C66" s="183">
        <f t="shared" si="2"/>
        <v>92442947000000</v>
      </c>
    </row>
    <row r="67" spans="1:5">
      <c r="A67" s="205">
        <v>2001</v>
      </c>
      <c r="B67" s="177">
        <v>69598</v>
      </c>
      <c r="C67" s="183">
        <f t="shared" si="2"/>
        <v>72312322000000</v>
      </c>
    </row>
    <row r="68" spans="1:5">
      <c r="A68" s="205">
        <v>2000</v>
      </c>
      <c r="B68" s="177">
        <v>62014</v>
      </c>
      <c r="C68" s="183">
        <f t="shared" si="2"/>
        <v>64432545999999.992</v>
      </c>
    </row>
    <row r="69" spans="1:5">
      <c r="A69" s="205">
        <v>1999</v>
      </c>
      <c r="B69" s="177">
        <v>70397</v>
      </c>
      <c r="C69" s="183">
        <f t="shared" si="2"/>
        <v>73142483000000</v>
      </c>
    </row>
    <row r="70" spans="1:5">
      <c r="A70" s="205">
        <v>1998</v>
      </c>
      <c r="B70" s="177">
        <v>65800</v>
      </c>
      <c r="C70" s="183">
        <f t="shared" si="2"/>
        <v>68366200000000</v>
      </c>
    </row>
    <row r="71" spans="1:5" ht="14.65" thickBot="1">
      <c r="A71" s="206">
        <v>1997</v>
      </c>
      <c r="B71" s="182">
        <v>82115</v>
      </c>
      <c r="C71" s="184">
        <f t="shared" si="2"/>
        <v>85317485000000</v>
      </c>
    </row>
    <row r="72" spans="1:5">
      <c r="A72" s="153"/>
      <c r="C72" t="s">
        <v>970</v>
      </c>
    </row>
    <row r="73" spans="1:5">
      <c r="A73" s="153"/>
      <c r="C73" t="s">
        <v>975</v>
      </c>
    </row>
    <row r="74" spans="1:5">
      <c r="A74" s="153"/>
    </row>
  </sheetData>
  <hyperlinks>
    <hyperlink ref="A7" location="'Data 1'!A1" display="Data 1"/>
    <hyperlink ref="B15" r:id="rId1"/>
    <hyperlink ref="B16" r:id="rId2" display="http://www.eia.gov/"/>
    <hyperlink ref="B17" r:id="rId3" display="mailto:infoctr@eia.gov_x0003_"/>
    <hyperlink ref="A8" location="'Data 1'!A1" display="Data 1"/>
    <hyperlink ref="D15" r:id="rId4"/>
    <hyperlink ref="D16" r:id="rId5" display="http://www.eia.gov/"/>
    <hyperlink ref="D17" r:id="rId6" display="mailto:infoctr@eia.gov_x0003_"/>
    <hyperlink ref="B47"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election activeCell="E12" sqref="E12"/>
    </sheetView>
  </sheetViews>
  <sheetFormatPr defaultColWidth="10.6640625" defaultRowHeight="14.25"/>
  <cols>
    <col min="1" max="1" width="54.46484375" bestFit="1" customWidth="1"/>
    <col min="2" max="2" width="15.6640625" bestFit="1" customWidth="1"/>
  </cols>
  <sheetData>
    <row r="1" spans="1:6" s="5" customFormat="1">
      <c r="A1" s="239" t="s">
        <v>1029</v>
      </c>
    </row>
    <row r="2" spans="1:6" s="5" customFormat="1">
      <c r="A2" s="207" t="s">
        <v>979</v>
      </c>
    </row>
    <row r="3" spans="1:6" s="5" customFormat="1"/>
    <row r="4" spans="1:6">
      <c r="A4" s="112"/>
      <c r="B4" s="112"/>
      <c r="C4" s="112"/>
      <c r="D4" s="112"/>
      <c r="E4" s="112"/>
      <c r="F4" s="112"/>
    </row>
    <row r="5" spans="1:6">
      <c r="A5" s="112" t="s">
        <v>587</v>
      </c>
      <c r="B5" s="112"/>
      <c r="C5" s="112"/>
      <c r="D5" s="112"/>
      <c r="E5" s="112"/>
      <c r="F5" s="112"/>
    </row>
    <row r="6" spans="1:6">
      <c r="A6" s="112" t="s">
        <v>588</v>
      </c>
      <c r="B6" s="112"/>
      <c r="C6" s="112"/>
      <c r="D6" s="112"/>
      <c r="E6" s="112"/>
      <c r="F6" s="112"/>
    </row>
    <row r="7" spans="1:6" ht="15.75">
      <c r="A7" s="113" t="s">
        <v>895</v>
      </c>
      <c r="B7" s="114"/>
      <c r="C7" s="114"/>
      <c r="D7" s="114"/>
      <c r="E7" s="114"/>
      <c r="F7" s="114"/>
    </row>
    <row r="8" spans="1:6">
      <c r="A8" s="115" t="s">
        <v>589</v>
      </c>
      <c r="B8" s="116"/>
      <c r="C8" s="116"/>
      <c r="D8" s="116"/>
      <c r="E8" s="116"/>
      <c r="F8" s="116"/>
    </row>
    <row r="9" spans="1:6">
      <c r="A9" s="115" t="s">
        <v>896</v>
      </c>
      <c r="B9" s="116"/>
      <c r="C9" s="116"/>
      <c r="D9" s="116"/>
      <c r="E9" s="116"/>
      <c r="F9" s="116"/>
    </row>
    <row r="10" spans="1:6">
      <c r="A10" s="115" t="s">
        <v>897</v>
      </c>
      <c r="B10" s="116" t="s">
        <v>590</v>
      </c>
      <c r="C10" s="116"/>
      <c r="D10" s="116"/>
      <c r="E10" s="116"/>
      <c r="F10" s="116"/>
    </row>
    <row r="11" spans="1:6">
      <c r="A11" s="117"/>
      <c r="B11" s="112"/>
      <c r="C11" s="112"/>
      <c r="D11" s="112"/>
      <c r="E11" s="112"/>
      <c r="F11" s="112"/>
    </row>
    <row r="12" spans="1:6">
      <c r="A12" s="119"/>
      <c r="B12" s="118" t="s">
        <v>590</v>
      </c>
      <c r="C12" s="122"/>
      <c r="D12" s="123"/>
      <c r="E12" s="122" t="s">
        <v>898</v>
      </c>
      <c r="F12" s="122"/>
    </row>
    <row r="13" spans="1:6">
      <c r="A13" s="119" t="s">
        <v>590</v>
      </c>
      <c r="B13" s="118" t="s">
        <v>590</v>
      </c>
      <c r="C13" s="123"/>
      <c r="D13" s="122"/>
      <c r="E13" s="122" t="s">
        <v>899</v>
      </c>
      <c r="F13" s="122"/>
    </row>
    <row r="14" spans="1:6">
      <c r="A14" s="119" t="s">
        <v>592</v>
      </c>
      <c r="B14" s="118" t="s">
        <v>590</v>
      </c>
      <c r="C14" s="122" t="s">
        <v>900</v>
      </c>
      <c r="D14" s="122"/>
      <c r="E14" s="122" t="s">
        <v>901</v>
      </c>
      <c r="F14" s="122"/>
    </row>
    <row r="15" spans="1:6" ht="14.65" thickBot="1">
      <c r="A15" s="119" t="s">
        <v>599</v>
      </c>
      <c r="B15" s="118" t="s">
        <v>600</v>
      </c>
      <c r="C15" s="122" t="s">
        <v>902</v>
      </c>
      <c r="D15" s="122" t="s">
        <v>903</v>
      </c>
      <c r="E15" s="122" t="s">
        <v>904</v>
      </c>
      <c r="F15" s="122" t="s">
        <v>905</v>
      </c>
    </row>
    <row r="16" spans="1:6" ht="14.65" thickTop="1">
      <c r="A16" s="126"/>
      <c r="B16" s="127"/>
      <c r="C16" s="128"/>
      <c r="D16" s="128"/>
      <c r="E16" s="128"/>
      <c r="F16" s="128"/>
    </row>
    <row r="17" spans="1:6">
      <c r="A17" s="148" t="s">
        <v>153</v>
      </c>
      <c r="B17" s="148" t="s">
        <v>153</v>
      </c>
      <c r="C17" s="124" t="s">
        <v>591</v>
      </c>
      <c r="D17" s="124"/>
      <c r="E17" s="124"/>
      <c r="F17" s="124"/>
    </row>
    <row r="18" spans="1:6">
      <c r="A18" s="227" t="s">
        <v>770</v>
      </c>
      <c r="B18" s="227" t="s">
        <v>608</v>
      </c>
      <c r="C18" s="228">
        <v>1739</v>
      </c>
      <c r="D18" s="228">
        <v>1701</v>
      </c>
      <c r="E18" s="228" t="s">
        <v>631</v>
      </c>
      <c r="F18" s="228" t="s">
        <v>631</v>
      </c>
    </row>
    <row r="19" spans="1:6" ht="24">
      <c r="A19" s="229" t="s">
        <v>609</v>
      </c>
      <c r="B19" s="229" t="s">
        <v>610</v>
      </c>
      <c r="C19" s="230">
        <v>157</v>
      </c>
      <c r="D19" s="230">
        <v>157</v>
      </c>
      <c r="E19" s="230">
        <v>0</v>
      </c>
      <c r="F19" s="230">
        <v>0</v>
      </c>
    </row>
    <row r="20" spans="1:6">
      <c r="A20" s="229" t="s">
        <v>612</v>
      </c>
      <c r="B20" s="229" t="s">
        <v>613</v>
      </c>
      <c r="C20" s="230">
        <v>85</v>
      </c>
      <c r="D20" s="230">
        <v>85</v>
      </c>
      <c r="E20" s="230">
        <v>0</v>
      </c>
      <c r="F20" s="230">
        <v>0</v>
      </c>
    </row>
    <row r="21" spans="1:6">
      <c r="A21" s="229" t="s">
        <v>614</v>
      </c>
      <c r="B21" s="229" t="s">
        <v>615</v>
      </c>
      <c r="C21" s="230">
        <v>1176</v>
      </c>
      <c r="D21" s="230">
        <v>1176</v>
      </c>
      <c r="E21" s="230">
        <v>0</v>
      </c>
      <c r="F21" s="230">
        <v>0</v>
      </c>
    </row>
    <row r="22" spans="1:6" ht="35.65">
      <c r="A22" s="229" t="s">
        <v>616</v>
      </c>
      <c r="B22" s="229" t="s">
        <v>617</v>
      </c>
      <c r="C22" s="230">
        <v>368</v>
      </c>
      <c r="D22" s="230">
        <v>367</v>
      </c>
      <c r="E22" s="230" t="s">
        <v>611</v>
      </c>
      <c r="F22" s="230">
        <v>0</v>
      </c>
    </row>
    <row r="23" spans="1:6">
      <c r="A23" s="229" t="s">
        <v>618</v>
      </c>
      <c r="B23" s="229" t="s">
        <v>619</v>
      </c>
      <c r="C23" s="230">
        <v>0</v>
      </c>
      <c r="D23" s="230">
        <v>0</v>
      </c>
      <c r="E23" s="230">
        <v>0</v>
      </c>
      <c r="F23" s="230">
        <v>0</v>
      </c>
    </row>
    <row r="24" spans="1:6" ht="24">
      <c r="A24" s="229" t="s">
        <v>620</v>
      </c>
      <c r="B24" s="229" t="s">
        <v>621</v>
      </c>
      <c r="C24" s="230" t="s">
        <v>631</v>
      </c>
      <c r="D24" s="230">
        <v>0</v>
      </c>
      <c r="E24" s="230" t="s">
        <v>631</v>
      </c>
      <c r="F24" s="230" t="s">
        <v>631</v>
      </c>
    </row>
    <row r="25" spans="1:6" ht="24">
      <c r="A25" s="229" t="s">
        <v>771</v>
      </c>
      <c r="B25" s="229" t="s">
        <v>622</v>
      </c>
      <c r="C25" s="230">
        <v>9</v>
      </c>
      <c r="D25" s="230">
        <v>9</v>
      </c>
      <c r="E25" s="230" t="s">
        <v>611</v>
      </c>
      <c r="F25" s="230" t="s">
        <v>611</v>
      </c>
    </row>
    <row r="26" spans="1:6">
      <c r="A26" s="229" t="s">
        <v>623</v>
      </c>
      <c r="B26" s="229" t="s">
        <v>624</v>
      </c>
      <c r="C26" s="230" t="s">
        <v>611</v>
      </c>
      <c r="D26" s="230" t="s">
        <v>611</v>
      </c>
      <c r="E26" s="230">
        <v>0</v>
      </c>
      <c r="F26" s="230" t="s">
        <v>611</v>
      </c>
    </row>
    <row r="27" spans="1:6">
      <c r="A27" s="229" t="s">
        <v>625</v>
      </c>
      <c r="B27" s="229" t="s">
        <v>626</v>
      </c>
      <c r="C27" s="230">
        <v>9</v>
      </c>
      <c r="D27" s="230">
        <v>9</v>
      </c>
      <c r="E27" s="230" t="s">
        <v>611</v>
      </c>
      <c r="F27" s="230">
        <v>0</v>
      </c>
    </row>
    <row r="28" spans="1:6">
      <c r="A28" s="229" t="s">
        <v>627</v>
      </c>
      <c r="B28" s="229" t="s">
        <v>628</v>
      </c>
      <c r="C28" s="230">
        <v>54</v>
      </c>
      <c r="D28" s="230">
        <v>54</v>
      </c>
      <c r="E28" s="230">
        <v>0</v>
      </c>
      <c r="F28" s="230">
        <v>0</v>
      </c>
    </row>
    <row r="29" spans="1:6">
      <c r="A29" s="229" t="s">
        <v>629</v>
      </c>
      <c r="B29" s="229" t="s">
        <v>630</v>
      </c>
      <c r="C29" s="230" t="s">
        <v>611</v>
      </c>
      <c r="D29" s="230">
        <v>0</v>
      </c>
      <c r="E29" s="230" t="s">
        <v>611</v>
      </c>
      <c r="F29" s="230">
        <v>0</v>
      </c>
    </row>
    <row r="30" spans="1:6">
      <c r="A30" s="229" t="s">
        <v>632</v>
      </c>
      <c r="B30" s="229" t="s">
        <v>633</v>
      </c>
      <c r="C30" s="230">
        <v>0</v>
      </c>
      <c r="D30" s="230">
        <v>0</v>
      </c>
      <c r="E30" s="230">
        <v>0</v>
      </c>
      <c r="F30" s="230">
        <v>0</v>
      </c>
    </row>
    <row r="31" spans="1:6" ht="24">
      <c r="A31" s="229" t="s">
        <v>634</v>
      </c>
      <c r="B31" s="229" t="s">
        <v>635</v>
      </c>
      <c r="C31" s="230">
        <v>0</v>
      </c>
      <c r="D31" s="230">
        <v>0</v>
      </c>
      <c r="E31" s="230">
        <v>0</v>
      </c>
      <c r="F31" s="230">
        <v>0</v>
      </c>
    </row>
    <row r="32" spans="1:6">
      <c r="A32" s="229" t="s">
        <v>636</v>
      </c>
      <c r="B32" s="229" t="s">
        <v>637</v>
      </c>
      <c r="C32" s="230">
        <v>49</v>
      </c>
      <c r="D32" s="230">
        <v>49</v>
      </c>
      <c r="E32" s="230">
        <v>0</v>
      </c>
      <c r="F32" s="230" t="s">
        <v>611</v>
      </c>
    </row>
    <row r="33" spans="1:6">
      <c r="A33" s="229" t="s">
        <v>638</v>
      </c>
      <c r="B33" s="229" t="s">
        <v>639</v>
      </c>
      <c r="C33" s="230">
        <v>49</v>
      </c>
      <c r="D33" s="230">
        <v>49</v>
      </c>
      <c r="E33" s="230">
        <v>0</v>
      </c>
      <c r="F33" s="230">
        <v>0</v>
      </c>
    </row>
    <row r="34" spans="1:6" ht="35.65">
      <c r="A34" s="229" t="s">
        <v>640</v>
      </c>
      <c r="B34" s="229" t="s">
        <v>641</v>
      </c>
      <c r="C34" s="230" t="s">
        <v>611</v>
      </c>
      <c r="D34" s="230">
        <v>0</v>
      </c>
      <c r="E34" s="230">
        <v>0</v>
      </c>
      <c r="F34" s="230" t="s">
        <v>611</v>
      </c>
    </row>
    <row r="35" spans="1:6" ht="24">
      <c r="A35" s="229" t="s">
        <v>642</v>
      </c>
      <c r="B35" s="229" t="s">
        <v>643</v>
      </c>
      <c r="C35" s="230" t="s">
        <v>611</v>
      </c>
      <c r="D35" s="230">
        <v>0</v>
      </c>
      <c r="E35" s="230">
        <v>0</v>
      </c>
      <c r="F35" s="230" t="s">
        <v>611</v>
      </c>
    </row>
    <row r="36" spans="1:6">
      <c r="A36" s="229" t="s">
        <v>644</v>
      </c>
      <c r="B36" s="229" t="s">
        <v>645</v>
      </c>
      <c r="C36" s="230" t="s">
        <v>611</v>
      </c>
      <c r="D36" s="230" t="s">
        <v>611</v>
      </c>
      <c r="E36" s="230">
        <v>0</v>
      </c>
      <c r="F36" s="230">
        <v>0</v>
      </c>
    </row>
    <row r="37" spans="1:6">
      <c r="A37" s="229" t="s">
        <v>646</v>
      </c>
      <c r="B37" s="229" t="s">
        <v>647</v>
      </c>
      <c r="C37" s="230">
        <v>29635</v>
      </c>
      <c r="D37" s="230">
        <v>28818</v>
      </c>
      <c r="E37" s="230">
        <v>0</v>
      </c>
      <c r="F37" s="230">
        <v>817</v>
      </c>
    </row>
    <row r="38" spans="1:6">
      <c r="A38" s="229" t="s">
        <v>648</v>
      </c>
      <c r="B38" s="229" t="s">
        <v>649</v>
      </c>
      <c r="C38" s="230">
        <v>5008</v>
      </c>
      <c r="D38" s="230">
        <v>5006</v>
      </c>
      <c r="E38" s="230">
        <v>0</v>
      </c>
      <c r="F38" s="230">
        <v>2</v>
      </c>
    </row>
    <row r="39" spans="1:6" ht="24">
      <c r="A39" s="229" t="s">
        <v>650</v>
      </c>
      <c r="B39" s="229" t="s">
        <v>651</v>
      </c>
      <c r="C39" s="230">
        <v>8682</v>
      </c>
      <c r="D39" s="230">
        <v>8096</v>
      </c>
      <c r="E39" s="230">
        <v>0</v>
      </c>
      <c r="F39" s="230">
        <v>587</v>
      </c>
    </row>
    <row r="40" spans="1:6">
      <c r="A40" s="229" t="s">
        <v>652</v>
      </c>
      <c r="B40" s="229" t="s">
        <v>653</v>
      </c>
      <c r="C40" s="230">
        <v>374</v>
      </c>
      <c r="D40" s="230">
        <v>374</v>
      </c>
      <c r="E40" s="230">
        <v>0</v>
      </c>
      <c r="F40" s="230">
        <v>0</v>
      </c>
    </row>
    <row r="41" spans="1:6">
      <c r="A41" s="229" t="s">
        <v>654</v>
      </c>
      <c r="B41" s="229" t="s">
        <v>655</v>
      </c>
      <c r="C41" s="230">
        <v>15571</v>
      </c>
      <c r="D41" s="230">
        <v>15343</v>
      </c>
      <c r="E41" s="230">
        <v>0</v>
      </c>
      <c r="F41" s="230">
        <v>229</v>
      </c>
    </row>
    <row r="42" spans="1:6" ht="24">
      <c r="A42" s="229" t="s">
        <v>656</v>
      </c>
      <c r="B42" s="229" t="s">
        <v>657</v>
      </c>
      <c r="C42" s="230" t="s">
        <v>631</v>
      </c>
      <c r="D42" s="230" t="s">
        <v>611</v>
      </c>
      <c r="E42" s="230" t="s">
        <v>631</v>
      </c>
      <c r="F42" s="230" t="s">
        <v>611</v>
      </c>
    </row>
    <row r="43" spans="1:6" ht="24">
      <c r="A43" s="130" t="s">
        <v>658</v>
      </c>
      <c r="B43" s="130" t="s">
        <v>659</v>
      </c>
      <c r="C43" s="149">
        <v>11742</v>
      </c>
      <c r="D43" s="149">
        <v>11658</v>
      </c>
      <c r="E43" s="149">
        <v>0</v>
      </c>
      <c r="F43" s="149">
        <v>84</v>
      </c>
    </row>
    <row r="44" spans="1:6">
      <c r="A44" s="130" t="s">
        <v>660</v>
      </c>
      <c r="B44" s="130" t="s">
        <v>661</v>
      </c>
      <c r="C44" s="149">
        <v>11191</v>
      </c>
      <c r="D44" s="149">
        <v>11107</v>
      </c>
      <c r="E44" s="149">
        <v>0</v>
      </c>
      <c r="F44" s="149">
        <v>84</v>
      </c>
    </row>
    <row r="45" spans="1:6" ht="24">
      <c r="A45" s="130" t="s">
        <v>662</v>
      </c>
      <c r="B45" s="130" t="s">
        <v>663</v>
      </c>
      <c r="C45" s="149" t="s">
        <v>611</v>
      </c>
      <c r="D45" s="149" t="s">
        <v>611</v>
      </c>
      <c r="E45" s="149">
        <v>0</v>
      </c>
      <c r="F45" s="149">
        <v>0</v>
      </c>
    </row>
    <row r="46" spans="1:6" ht="24">
      <c r="A46" s="130" t="s">
        <v>664</v>
      </c>
      <c r="B46" s="130" t="s">
        <v>665</v>
      </c>
      <c r="C46" s="149" t="s">
        <v>611</v>
      </c>
      <c r="D46" s="149">
        <v>0</v>
      </c>
      <c r="E46" s="149">
        <v>0</v>
      </c>
      <c r="F46" s="149" t="s">
        <v>611</v>
      </c>
    </row>
    <row r="47" spans="1:6" ht="24">
      <c r="A47" s="130" t="s">
        <v>666</v>
      </c>
      <c r="B47" s="130" t="s">
        <v>667</v>
      </c>
      <c r="C47" s="149">
        <v>551</v>
      </c>
      <c r="D47" s="149">
        <v>551</v>
      </c>
      <c r="E47" s="149">
        <v>0</v>
      </c>
      <c r="F47" s="149" t="s">
        <v>611</v>
      </c>
    </row>
    <row r="48" spans="1:6">
      <c r="A48" s="226" t="s">
        <v>668</v>
      </c>
      <c r="B48" s="226" t="s">
        <v>569</v>
      </c>
      <c r="C48" s="219">
        <v>44508</v>
      </c>
      <c r="D48" s="219">
        <v>44102</v>
      </c>
      <c r="E48" s="219" t="s">
        <v>611</v>
      </c>
      <c r="F48" s="219">
        <v>406</v>
      </c>
    </row>
    <row r="49" spans="1:6">
      <c r="A49" s="227" t="s">
        <v>670</v>
      </c>
      <c r="B49" s="227" t="s">
        <v>671</v>
      </c>
      <c r="C49" s="228">
        <v>3907</v>
      </c>
      <c r="D49" s="228">
        <v>3904</v>
      </c>
      <c r="E49" s="228">
        <v>0</v>
      </c>
      <c r="F49" s="228">
        <v>3</v>
      </c>
    </row>
    <row r="50" spans="1:6">
      <c r="A50" s="227" t="s">
        <v>672</v>
      </c>
      <c r="B50" s="227" t="s">
        <v>673</v>
      </c>
      <c r="C50" s="228">
        <v>8</v>
      </c>
      <c r="D50" s="228">
        <v>8</v>
      </c>
      <c r="E50" s="228">
        <v>0</v>
      </c>
      <c r="F50" s="228" t="s">
        <v>611</v>
      </c>
    </row>
    <row r="51" spans="1:6" ht="24">
      <c r="A51" s="227" t="s">
        <v>674</v>
      </c>
      <c r="B51" s="227" t="s">
        <v>675</v>
      </c>
      <c r="C51" s="228">
        <v>3937</v>
      </c>
      <c r="D51" s="228">
        <v>3936</v>
      </c>
      <c r="E51" s="228" t="s">
        <v>611</v>
      </c>
      <c r="F51" s="228">
        <v>1</v>
      </c>
    </row>
    <row r="52" spans="1:6">
      <c r="A52" s="227" t="s">
        <v>676</v>
      </c>
      <c r="B52" s="227" t="s">
        <v>677</v>
      </c>
      <c r="C52" s="228">
        <v>1</v>
      </c>
      <c r="D52" s="228">
        <v>1</v>
      </c>
      <c r="E52" s="228">
        <v>0</v>
      </c>
      <c r="F52" s="228">
        <v>0</v>
      </c>
    </row>
    <row r="53" spans="1:6" ht="35.65">
      <c r="A53" s="227" t="s">
        <v>678</v>
      </c>
      <c r="B53" s="227" t="s">
        <v>679</v>
      </c>
      <c r="C53" s="228">
        <v>15</v>
      </c>
      <c r="D53" s="228">
        <v>15</v>
      </c>
      <c r="E53" s="228">
        <v>0</v>
      </c>
      <c r="F53" s="228">
        <v>0</v>
      </c>
    </row>
    <row r="54" spans="1:6" ht="24">
      <c r="A54" s="227" t="s">
        <v>680</v>
      </c>
      <c r="B54" s="227" t="s">
        <v>681</v>
      </c>
      <c r="C54" s="228">
        <v>10938</v>
      </c>
      <c r="D54" s="228">
        <v>10665</v>
      </c>
      <c r="E54" s="228">
        <v>0</v>
      </c>
      <c r="F54" s="228">
        <v>273</v>
      </c>
    </row>
    <row r="55" spans="1:6" ht="24">
      <c r="A55" s="227" t="s">
        <v>682</v>
      </c>
      <c r="B55" s="227" t="s">
        <v>683</v>
      </c>
      <c r="C55" s="228">
        <v>22536</v>
      </c>
      <c r="D55" s="228">
        <v>22515</v>
      </c>
      <c r="E55" s="228" t="s">
        <v>611</v>
      </c>
      <c r="F55" s="228">
        <v>21</v>
      </c>
    </row>
    <row r="56" spans="1:6">
      <c r="A56" s="227" t="s">
        <v>684</v>
      </c>
      <c r="B56" s="227" t="s">
        <v>685</v>
      </c>
      <c r="C56" s="228">
        <v>301</v>
      </c>
      <c r="D56" s="228">
        <v>194</v>
      </c>
      <c r="E56" s="228">
        <v>0</v>
      </c>
      <c r="F56" s="228">
        <v>107</v>
      </c>
    </row>
    <row r="57" spans="1:6" ht="35.65">
      <c r="A57" s="227" t="s">
        <v>686</v>
      </c>
      <c r="B57" s="227" t="s">
        <v>687</v>
      </c>
      <c r="C57" s="228">
        <v>186</v>
      </c>
      <c r="D57" s="228">
        <v>186</v>
      </c>
      <c r="E57" s="228">
        <v>0</v>
      </c>
      <c r="F57" s="228">
        <v>0</v>
      </c>
    </row>
    <row r="58" spans="1:6" ht="24">
      <c r="A58" s="227" t="s">
        <v>688</v>
      </c>
      <c r="B58" s="227" t="s">
        <v>689</v>
      </c>
      <c r="C58" s="228">
        <v>174</v>
      </c>
      <c r="D58" s="228">
        <v>174</v>
      </c>
      <c r="E58" s="228">
        <v>0</v>
      </c>
      <c r="F58" s="228">
        <v>0</v>
      </c>
    </row>
    <row r="59" spans="1:6">
      <c r="A59" s="227" t="s">
        <v>690</v>
      </c>
      <c r="B59" s="227" t="s">
        <v>691</v>
      </c>
      <c r="C59" s="228">
        <v>1738</v>
      </c>
      <c r="D59" s="228">
        <v>1738</v>
      </c>
      <c r="E59" s="228">
        <v>0</v>
      </c>
      <c r="F59" s="228">
        <v>0</v>
      </c>
    </row>
    <row r="60" spans="1:6" ht="24">
      <c r="A60" s="227" t="s">
        <v>692</v>
      </c>
      <c r="B60" s="227" t="s">
        <v>693</v>
      </c>
      <c r="C60" s="228">
        <v>29</v>
      </c>
      <c r="D60" s="228">
        <v>27</v>
      </c>
      <c r="E60" s="228" t="s">
        <v>611</v>
      </c>
      <c r="F60" s="228">
        <v>1</v>
      </c>
    </row>
    <row r="61" spans="1:6" ht="24">
      <c r="A61" s="227" t="s">
        <v>694</v>
      </c>
      <c r="B61" s="227" t="s">
        <v>695</v>
      </c>
      <c r="C61" s="228">
        <v>1</v>
      </c>
      <c r="D61" s="228">
        <v>1</v>
      </c>
      <c r="E61" s="228">
        <v>0</v>
      </c>
      <c r="F61" s="228">
        <v>1</v>
      </c>
    </row>
    <row r="62" spans="1:6" ht="35.65">
      <c r="A62" s="227" t="s">
        <v>696</v>
      </c>
      <c r="B62" s="227" t="s">
        <v>697</v>
      </c>
      <c r="C62" s="228">
        <v>0</v>
      </c>
      <c r="D62" s="228">
        <v>0</v>
      </c>
      <c r="E62" s="228">
        <v>0</v>
      </c>
      <c r="F62" s="228">
        <v>0</v>
      </c>
    </row>
    <row r="63" spans="1:6" ht="24">
      <c r="A63" s="226" t="s">
        <v>698</v>
      </c>
      <c r="B63" s="226" t="s">
        <v>699</v>
      </c>
      <c r="C63" s="219" t="s">
        <v>611</v>
      </c>
      <c r="D63" s="219">
        <v>0</v>
      </c>
      <c r="E63" s="219">
        <v>0</v>
      </c>
      <c r="F63" s="219" t="s">
        <v>611</v>
      </c>
    </row>
    <row r="64" spans="1:6" ht="24">
      <c r="A64" s="229" t="s">
        <v>700</v>
      </c>
      <c r="B64" s="229" t="s">
        <v>701</v>
      </c>
      <c r="C64" s="230" t="s">
        <v>631</v>
      </c>
      <c r="D64" s="230">
        <v>0</v>
      </c>
      <c r="E64" s="230" t="s">
        <v>631</v>
      </c>
      <c r="F64" s="230">
        <v>1</v>
      </c>
    </row>
    <row r="65" spans="1:6" ht="35.65">
      <c r="A65" s="229" t="s">
        <v>702</v>
      </c>
      <c r="B65" s="229" t="s">
        <v>703</v>
      </c>
      <c r="C65" s="230" t="s">
        <v>611</v>
      </c>
      <c r="D65" s="230">
        <v>0</v>
      </c>
      <c r="E65" s="230">
        <v>0</v>
      </c>
      <c r="F65" s="230" t="s">
        <v>611</v>
      </c>
    </row>
    <row r="66" spans="1:6">
      <c r="A66" s="229" t="s">
        <v>704</v>
      </c>
      <c r="B66" s="229" t="s">
        <v>705</v>
      </c>
      <c r="C66" s="230" t="s">
        <v>611</v>
      </c>
      <c r="D66" s="230">
        <v>0</v>
      </c>
      <c r="E66" s="230">
        <v>0</v>
      </c>
      <c r="F66" s="230" t="s">
        <v>611</v>
      </c>
    </row>
    <row r="67" spans="1:6" ht="35.65">
      <c r="A67" s="229" t="s">
        <v>706</v>
      </c>
      <c r="B67" s="229" t="s">
        <v>707</v>
      </c>
      <c r="C67" s="230">
        <v>0</v>
      </c>
      <c r="D67" s="230">
        <v>0</v>
      </c>
      <c r="E67" s="230">
        <v>0</v>
      </c>
      <c r="F67" s="230">
        <v>0</v>
      </c>
    </row>
    <row r="68" spans="1:6">
      <c r="A68" s="229" t="s">
        <v>708</v>
      </c>
      <c r="B68" s="229" t="s">
        <v>709</v>
      </c>
      <c r="C68" s="230" t="s">
        <v>611</v>
      </c>
      <c r="D68" s="230">
        <v>0</v>
      </c>
      <c r="E68" s="230">
        <v>0</v>
      </c>
      <c r="F68" s="230" t="s">
        <v>611</v>
      </c>
    </row>
    <row r="69" spans="1:6" ht="24">
      <c r="A69" s="229" t="s">
        <v>710</v>
      </c>
      <c r="B69" s="229" t="s">
        <v>711</v>
      </c>
      <c r="C69" s="230">
        <v>0</v>
      </c>
      <c r="D69" s="230">
        <v>0</v>
      </c>
      <c r="E69" s="230">
        <v>0</v>
      </c>
      <c r="F69" s="230">
        <v>0</v>
      </c>
    </row>
    <row r="70" spans="1:6">
      <c r="A70" s="130" t="s">
        <v>712</v>
      </c>
      <c r="B70" s="130" t="s">
        <v>713</v>
      </c>
      <c r="C70" s="149" t="s">
        <v>611</v>
      </c>
      <c r="D70" s="149">
        <v>0</v>
      </c>
      <c r="E70" s="149">
        <v>0</v>
      </c>
      <c r="F70" s="149" t="s">
        <v>611</v>
      </c>
    </row>
    <row r="71" spans="1:6">
      <c r="A71" s="130" t="s">
        <v>714</v>
      </c>
      <c r="B71" s="130" t="s">
        <v>715</v>
      </c>
      <c r="C71" s="149">
        <v>0</v>
      </c>
      <c r="D71" s="149">
        <v>0</v>
      </c>
      <c r="E71" s="149">
        <v>0</v>
      </c>
      <c r="F71" s="149">
        <v>0</v>
      </c>
    </row>
    <row r="72" spans="1:6">
      <c r="A72" s="229" t="s">
        <v>716</v>
      </c>
      <c r="B72" s="229" t="s">
        <v>717</v>
      </c>
      <c r="C72" s="230">
        <v>0</v>
      </c>
      <c r="D72" s="230">
        <v>0</v>
      </c>
      <c r="E72" s="230">
        <v>0</v>
      </c>
      <c r="F72" s="230">
        <v>0</v>
      </c>
    </row>
    <row r="73" spans="1:6">
      <c r="A73" s="229" t="s">
        <v>718</v>
      </c>
      <c r="B73" s="229" t="s">
        <v>719</v>
      </c>
      <c r="C73" s="230" t="s">
        <v>611</v>
      </c>
      <c r="D73" s="230">
        <v>0</v>
      </c>
      <c r="E73" s="230">
        <v>0</v>
      </c>
      <c r="F73" s="230" t="s">
        <v>611</v>
      </c>
    </row>
    <row r="74" spans="1:6">
      <c r="A74" s="229" t="s">
        <v>720</v>
      </c>
      <c r="B74" s="229" t="s">
        <v>721</v>
      </c>
      <c r="C74" s="230">
        <v>6037</v>
      </c>
      <c r="D74" s="230">
        <v>6032</v>
      </c>
      <c r="E74" s="230" t="s">
        <v>611</v>
      </c>
      <c r="F74" s="230">
        <v>5</v>
      </c>
    </row>
    <row r="75" spans="1:6" ht="24">
      <c r="A75" s="130" t="s">
        <v>722</v>
      </c>
      <c r="B75" s="130" t="s">
        <v>723</v>
      </c>
      <c r="C75" s="149">
        <v>340</v>
      </c>
      <c r="D75" s="149">
        <v>337</v>
      </c>
      <c r="E75" s="149">
        <v>0</v>
      </c>
      <c r="F75" s="149">
        <v>4</v>
      </c>
    </row>
    <row r="76" spans="1:6" ht="24">
      <c r="A76" s="130" t="s">
        <v>724</v>
      </c>
      <c r="B76" s="130" t="s">
        <v>725</v>
      </c>
      <c r="C76" s="149">
        <v>0</v>
      </c>
      <c r="D76" s="149">
        <v>0</v>
      </c>
      <c r="E76" s="149">
        <v>0</v>
      </c>
      <c r="F76" s="149">
        <v>0</v>
      </c>
    </row>
    <row r="77" spans="1:6" ht="24">
      <c r="A77" s="229" t="s">
        <v>726</v>
      </c>
      <c r="B77" s="229" t="s">
        <v>727</v>
      </c>
      <c r="C77" s="230">
        <v>5660</v>
      </c>
      <c r="D77" s="230">
        <v>5659</v>
      </c>
      <c r="E77" s="230" t="s">
        <v>611</v>
      </c>
      <c r="F77" s="230" t="s">
        <v>611</v>
      </c>
    </row>
    <row r="78" spans="1:6" ht="35.65">
      <c r="A78" s="229" t="s">
        <v>728</v>
      </c>
      <c r="B78" s="229" t="s">
        <v>729</v>
      </c>
      <c r="C78" s="230" t="s">
        <v>611</v>
      </c>
      <c r="D78" s="230">
        <v>0</v>
      </c>
      <c r="E78" s="230" t="s">
        <v>611</v>
      </c>
      <c r="F78" s="230">
        <v>0</v>
      </c>
    </row>
    <row r="79" spans="1:6" ht="24">
      <c r="A79" s="229" t="s">
        <v>730</v>
      </c>
      <c r="B79" s="229" t="s">
        <v>731</v>
      </c>
      <c r="C79" s="230">
        <v>9</v>
      </c>
      <c r="D79" s="230">
        <v>9</v>
      </c>
      <c r="E79" s="230">
        <v>0</v>
      </c>
      <c r="F79" s="230">
        <v>0</v>
      </c>
    </row>
    <row r="80" spans="1:6" ht="35.65">
      <c r="A80" s="229" t="s">
        <v>732</v>
      </c>
      <c r="B80" s="229" t="s">
        <v>733</v>
      </c>
      <c r="C80" s="230" t="s">
        <v>631</v>
      </c>
      <c r="D80" s="230" t="s">
        <v>631</v>
      </c>
      <c r="E80" s="230">
        <v>0</v>
      </c>
      <c r="F80" s="230" t="s">
        <v>611</v>
      </c>
    </row>
    <row r="81" spans="1:6" ht="24">
      <c r="A81" s="229" t="s">
        <v>734</v>
      </c>
      <c r="B81" s="229" t="s">
        <v>735</v>
      </c>
      <c r="C81" s="230">
        <v>36</v>
      </c>
      <c r="D81" s="230">
        <v>36</v>
      </c>
      <c r="E81" s="230">
        <v>0</v>
      </c>
      <c r="F81" s="230">
        <v>0</v>
      </c>
    </row>
    <row r="82" spans="1:6" ht="35.65">
      <c r="A82" s="229" t="s">
        <v>736</v>
      </c>
      <c r="B82" s="229" t="s">
        <v>737</v>
      </c>
      <c r="C82" s="230">
        <v>36</v>
      </c>
      <c r="D82" s="230">
        <v>36</v>
      </c>
      <c r="E82" s="230">
        <v>0</v>
      </c>
      <c r="F82" s="230">
        <v>0</v>
      </c>
    </row>
    <row r="83" spans="1:6">
      <c r="A83" s="227" t="s">
        <v>738</v>
      </c>
      <c r="B83" s="227" t="s">
        <v>739</v>
      </c>
      <c r="C83" s="228">
        <v>1</v>
      </c>
      <c r="D83" s="228">
        <v>0</v>
      </c>
      <c r="E83" s="228">
        <v>0</v>
      </c>
      <c r="F83" s="228">
        <v>1</v>
      </c>
    </row>
    <row r="84" spans="1:6">
      <c r="A84" s="232" t="s">
        <v>740</v>
      </c>
      <c r="B84" s="229" t="s">
        <v>741</v>
      </c>
      <c r="C84" s="230" t="s">
        <v>611</v>
      </c>
      <c r="D84" s="230">
        <v>0</v>
      </c>
      <c r="E84" s="230">
        <v>0</v>
      </c>
      <c r="F84" s="230" t="s">
        <v>611</v>
      </c>
    </row>
    <row r="85" spans="1:6" ht="24">
      <c r="A85" s="232" t="s">
        <v>742</v>
      </c>
      <c r="B85" s="229" t="s">
        <v>743</v>
      </c>
      <c r="C85" s="230">
        <v>0</v>
      </c>
      <c r="D85" s="230">
        <v>0</v>
      </c>
      <c r="E85" s="230">
        <v>0</v>
      </c>
      <c r="F85" s="230">
        <v>0</v>
      </c>
    </row>
    <row r="86" spans="1:6" ht="24">
      <c r="A86" s="229" t="s">
        <v>744</v>
      </c>
      <c r="B86" s="229" t="s">
        <v>745</v>
      </c>
      <c r="C86" s="230">
        <v>0</v>
      </c>
      <c r="D86" s="230">
        <v>0</v>
      </c>
      <c r="E86" s="230">
        <v>0</v>
      </c>
      <c r="F86" s="230">
        <v>0</v>
      </c>
    </row>
    <row r="87" spans="1:6" ht="24">
      <c r="A87" s="229" t="s">
        <v>746</v>
      </c>
      <c r="B87" s="229" t="s">
        <v>747</v>
      </c>
      <c r="C87" s="230">
        <v>0</v>
      </c>
      <c r="D87" s="230">
        <v>0</v>
      </c>
      <c r="E87" s="230">
        <v>0</v>
      </c>
      <c r="F87" s="230">
        <v>0</v>
      </c>
    </row>
    <row r="88" spans="1:6">
      <c r="A88" s="229" t="s">
        <v>748</v>
      </c>
      <c r="B88" s="229" t="s">
        <v>749</v>
      </c>
      <c r="C88" s="230" t="s">
        <v>611</v>
      </c>
      <c r="D88" s="230" t="s">
        <v>611</v>
      </c>
      <c r="E88" s="230">
        <v>0</v>
      </c>
      <c r="F88" s="230">
        <v>0</v>
      </c>
    </row>
    <row r="89" spans="1:6" ht="24">
      <c r="A89" s="229" t="s">
        <v>750</v>
      </c>
      <c r="B89" s="229" t="s">
        <v>751</v>
      </c>
      <c r="C89" s="230" t="s">
        <v>611</v>
      </c>
      <c r="D89" s="230">
        <v>0</v>
      </c>
      <c r="E89" s="230">
        <v>0</v>
      </c>
      <c r="F89" s="230" t="s">
        <v>611</v>
      </c>
    </row>
    <row r="90" spans="1:6" ht="24">
      <c r="A90" s="227" t="s">
        <v>752</v>
      </c>
      <c r="B90" s="227" t="s">
        <v>753</v>
      </c>
      <c r="C90" s="228" t="s">
        <v>611</v>
      </c>
      <c r="D90" s="228">
        <v>0</v>
      </c>
      <c r="E90" s="228">
        <v>0</v>
      </c>
      <c r="F90" s="228" t="s">
        <v>611</v>
      </c>
    </row>
    <row r="91" spans="1:6" ht="35.65">
      <c r="A91" s="229" t="s">
        <v>754</v>
      </c>
      <c r="B91" s="229" t="s">
        <v>755</v>
      </c>
      <c r="C91" s="230" t="s">
        <v>611</v>
      </c>
      <c r="D91" s="230">
        <v>0</v>
      </c>
      <c r="E91" s="230">
        <v>0</v>
      </c>
      <c r="F91" s="230" t="s">
        <v>611</v>
      </c>
    </row>
    <row r="92" spans="1:6" ht="24">
      <c r="A92" s="229" t="s">
        <v>756</v>
      </c>
      <c r="B92" s="229" t="s">
        <v>757</v>
      </c>
      <c r="C92" s="230">
        <v>90</v>
      </c>
      <c r="D92" s="230">
        <v>51</v>
      </c>
      <c r="E92" s="228">
        <v>38</v>
      </c>
      <c r="F92" s="230" t="s">
        <v>611</v>
      </c>
    </row>
    <row r="93" spans="1:6">
      <c r="A93" s="229" t="s">
        <v>758</v>
      </c>
      <c r="B93" s="229" t="s">
        <v>759</v>
      </c>
      <c r="C93" s="230">
        <v>34</v>
      </c>
      <c r="D93" s="230">
        <v>0</v>
      </c>
      <c r="E93" s="228">
        <v>34</v>
      </c>
      <c r="F93" s="230">
        <v>0</v>
      </c>
    </row>
    <row r="94" spans="1:6" ht="24">
      <c r="A94" s="229" t="s">
        <v>760</v>
      </c>
      <c r="B94" s="229" t="s">
        <v>761</v>
      </c>
      <c r="C94" s="230">
        <v>52</v>
      </c>
      <c r="D94" s="230">
        <v>51</v>
      </c>
      <c r="E94" s="228" t="s">
        <v>611</v>
      </c>
      <c r="F94" s="230">
        <v>0</v>
      </c>
    </row>
    <row r="95" spans="1:6" ht="24">
      <c r="A95" s="229" t="s">
        <v>762</v>
      </c>
      <c r="B95" s="229" t="s">
        <v>763</v>
      </c>
      <c r="C95" s="230">
        <v>5</v>
      </c>
      <c r="D95" s="230">
        <v>0</v>
      </c>
      <c r="E95" s="228">
        <v>4</v>
      </c>
      <c r="F95" s="230" t="s">
        <v>611</v>
      </c>
    </row>
    <row r="96" spans="1:6">
      <c r="A96" s="229" t="s">
        <v>764</v>
      </c>
      <c r="B96" s="229" t="s">
        <v>765</v>
      </c>
      <c r="C96" s="230" t="s">
        <v>611</v>
      </c>
      <c r="D96" s="230">
        <v>0</v>
      </c>
      <c r="E96" s="228">
        <v>0</v>
      </c>
      <c r="F96" s="230" t="s">
        <v>611</v>
      </c>
    </row>
    <row r="97" spans="1:6" ht="24">
      <c r="A97" s="229" t="s">
        <v>766</v>
      </c>
      <c r="B97" s="229" t="s">
        <v>767</v>
      </c>
      <c r="C97" s="230">
        <v>4</v>
      </c>
      <c r="D97" s="230">
        <v>3</v>
      </c>
      <c r="E97" s="230" t="s">
        <v>631</v>
      </c>
      <c r="F97" s="230">
        <v>0</v>
      </c>
    </row>
    <row r="98" spans="1:6">
      <c r="A98" s="229" t="s">
        <v>768</v>
      </c>
      <c r="B98" s="229" t="s">
        <v>769</v>
      </c>
      <c r="C98" s="230" t="s">
        <v>631</v>
      </c>
      <c r="D98" s="230" t="s">
        <v>631</v>
      </c>
      <c r="E98" s="230" t="s">
        <v>631</v>
      </c>
      <c r="F98" s="230">
        <v>0</v>
      </c>
    </row>
    <row r="99" spans="1:6">
      <c r="A99" s="229" t="s">
        <v>153</v>
      </c>
      <c r="B99" s="229" t="s">
        <v>557</v>
      </c>
      <c r="C99" s="230">
        <v>93924</v>
      </c>
      <c r="D99" s="230">
        <v>92525</v>
      </c>
      <c r="E99" s="230">
        <v>65</v>
      </c>
      <c r="F99" s="230">
        <v>1335</v>
      </c>
    </row>
    <row r="100" spans="1:6">
      <c r="A100" s="129"/>
      <c r="B100" s="129"/>
      <c r="C100" s="125"/>
      <c r="D100" s="125"/>
      <c r="E100" s="125"/>
      <c r="F100" s="125"/>
    </row>
    <row r="101" spans="1:6" ht="14.65" thickBot="1">
      <c r="A101" s="129"/>
      <c r="B101" s="129"/>
      <c r="C101" s="125"/>
      <c r="D101" s="125"/>
      <c r="E101" s="125"/>
      <c r="F101" s="125"/>
    </row>
    <row r="102" spans="1:6">
      <c r="A102" s="475" t="s">
        <v>906</v>
      </c>
      <c r="B102" s="475"/>
      <c r="C102" s="475"/>
      <c r="D102" s="475"/>
      <c r="E102" s="475"/>
      <c r="F102" s="475"/>
    </row>
    <row r="103" spans="1:6">
      <c r="A103" s="476" t="s">
        <v>907</v>
      </c>
      <c r="B103" s="476"/>
      <c r="C103" s="476"/>
      <c r="D103" s="476"/>
      <c r="E103" s="476"/>
      <c r="F103" s="476"/>
    </row>
    <row r="104" spans="1:6">
      <c r="A104" s="476" t="s">
        <v>908</v>
      </c>
      <c r="B104" s="476"/>
      <c r="C104" s="476"/>
      <c r="D104" s="476"/>
      <c r="E104" s="476"/>
      <c r="F104" s="476"/>
    </row>
    <row r="105" spans="1:6">
      <c r="A105" s="476" t="s">
        <v>909</v>
      </c>
      <c r="B105" s="476"/>
      <c r="C105" s="476"/>
      <c r="D105" s="476"/>
      <c r="E105" s="476"/>
      <c r="F105" s="476"/>
    </row>
    <row r="106" spans="1:6">
      <c r="A106" s="476" t="s">
        <v>910</v>
      </c>
      <c r="B106" s="476"/>
      <c r="C106" s="476"/>
      <c r="D106" s="476"/>
      <c r="E106" s="476"/>
      <c r="F106" s="476"/>
    </row>
    <row r="107" spans="1:6">
      <c r="A107" s="476" t="s">
        <v>911</v>
      </c>
      <c r="B107" s="476"/>
      <c r="C107" s="476"/>
      <c r="D107" s="476"/>
      <c r="E107" s="476"/>
      <c r="F107" s="476"/>
    </row>
    <row r="108" spans="1:6">
      <c r="A108" s="476" t="s">
        <v>912</v>
      </c>
      <c r="B108" s="476"/>
      <c r="C108" s="476"/>
      <c r="D108" s="476"/>
      <c r="E108" s="476"/>
      <c r="F108" s="476"/>
    </row>
    <row r="109" spans="1:6">
      <c r="A109" s="476" t="s">
        <v>913</v>
      </c>
      <c r="B109" s="476"/>
      <c r="C109" s="476"/>
      <c r="D109" s="476"/>
      <c r="E109" s="476"/>
      <c r="F109" s="476"/>
    </row>
    <row r="110" spans="1:6">
      <c r="A110" s="476" t="s">
        <v>914</v>
      </c>
      <c r="B110" s="476"/>
      <c r="C110" s="476"/>
      <c r="D110" s="476"/>
      <c r="E110" s="476"/>
      <c r="F110" s="476"/>
    </row>
    <row r="111" spans="1:6">
      <c r="A111" s="476" t="s">
        <v>915</v>
      </c>
      <c r="B111" s="476"/>
      <c r="C111" s="476"/>
      <c r="D111" s="476"/>
      <c r="E111" s="476"/>
      <c r="F111" s="476"/>
    </row>
    <row r="112" spans="1:6">
      <c r="A112" s="476" t="s">
        <v>916</v>
      </c>
      <c r="B112" s="476"/>
      <c r="C112" s="476"/>
      <c r="D112" s="476"/>
      <c r="E112" s="476"/>
      <c r="F112" s="476"/>
    </row>
    <row r="113" spans="1:6">
      <c r="A113" s="477"/>
      <c r="B113" s="477"/>
      <c r="C113" s="477"/>
      <c r="D113" s="477"/>
      <c r="E113" s="477"/>
      <c r="F113" s="477"/>
    </row>
    <row r="114" spans="1:6">
      <c r="A114" s="477"/>
      <c r="B114" s="477"/>
      <c r="C114" s="477"/>
      <c r="D114" s="477"/>
      <c r="E114" s="477"/>
      <c r="F114" s="477"/>
    </row>
    <row r="115" spans="1:6">
      <c r="A115" s="478"/>
      <c r="B115" s="478"/>
      <c r="C115" s="478"/>
      <c r="D115" s="478"/>
      <c r="E115" s="478"/>
      <c r="F115" s="478"/>
    </row>
    <row r="116" spans="1:6">
      <c r="A116" s="479"/>
      <c r="B116" s="479"/>
      <c r="C116" s="479"/>
      <c r="D116" s="479"/>
      <c r="E116" s="479"/>
      <c r="F116" s="479"/>
    </row>
  </sheetData>
  <mergeCells count="15">
    <mergeCell ref="A107:F107"/>
    <mergeCell ref="A114:F114"/>
    <mergeCell ref="A115:F115"/>
    <mergeCell ref="A116:F116"/>
    <mergeCell ref="A112:F112"/>
    <mergeCell ref="A113:F113"/>
    <mergeCell ref="A108:F108"/>
    <mergeCell ref="A109:F109"/>
    <mergeCell ref="A110:F110"/>
    <mergeCell ref="A111:F111"/>
    <mergeCell ref="A102:F102"/>
    <mergeCell ref="A103:F103"/>
    <mergeCell ref="A104:F104"/>
    <mergeCell ref="A105:F105"/>
    <mergeCell ref="A106:F10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33"/>
  <sheetViews>
    <sheetView topLeftCell="H3" workbookViewId="0">
      <selection activeCell="U7" sqref="U7"/>
    </sheetView>
  </sheetViews>
  <sheetFormatPr defaultColWidth="10.6640625" defaultRowHeight="14.25"/>
  <cols>
    <col min="3" max="3" width="11.1328125" bestFit="1" customWidth="1"/>
    <col min="10" max="10" width="12.1328125" bestFit="1" customWidth="1"/>
    <col min="11" max="12" width="11.796875" bestFit="1" customWidth="1"/>
    <col min="14" max="14" width="12.1328125" bestFit="1" customWidth="1"/>
    <col min="15" max="15" width="11.1328125" bestFit="1" customWidth="1"/>
    <col min="17" max="18" width="11.796875" bestFit="1" customWidth="1"/>
    <col min="26" max="26" width="17" bestFit="1" customWidth="1"/>
    <col min="27" max="27" width="13.6640625" bestFit="1" customWidth="1"/>
    <col min="30" max="30" width="26.796875" bestFit="1" customWidth="1"/>
    <col min="32" max="32" width="77.46484375" bestFit="1" customWidth="1"/>
  </cols>
  <sheetData>
    <row r="1" spans="1:65">
      <c r="Q1" s="1" t="s">
        <v>844</v>
      </c>
    </row>
    <row r="2" spans="1:65">
      <c r="A2" s="1" t="s">
        <v>838</v>
      </c>
      <c r="E2" s="1" t="s">
        <v>839</v>
      </c>
      <c r="I2" s="1" t="s">
        <v>840</v>
      </c>
      <c r="M2" s="1" t="s">
        <v>841</v>
      </c>
      <c r="Q2" s="1" t="s">
        <v>843</v>
      </c>
      <c r="Z2" s="1" t="s">
        <v>864</v>
      </c>
      <c r="AA2" s="1" t="s">
        <v>863</v>
      </c>
      <c r="AB2" s="1" t="s">
        <v>867</v>
      </c>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c r="A3" s="5" t="s">
        <v>837</v>
      </c>
      <c r="B3" s="5" t="s">
        <v>818</v>
      </c>
      <c r="C3" s="5" t="s">
        <v>592</v>
      </c>
      <c r="E3" s="5" t="s">
        <v>837</v>
      </c>
      <c r="F3" s="5" t="s">
        <v>818</v>
      </c>
      <c r="G3" s="5" t="s">
        <v>592</v>
      </c>
      <c r="I3" s="5" t="s">
        <v>837</v>
      </c>
      <c r="J3" s="5" t="s">
        <v>818</v>
      </c>
      <c r="K3" s="5" t="s">
        <v>592</v>
      </c>
      <c r="M3" s="5" t="s">
        <v>837</v>
      </c>
      <c r="N3" s="5" t="s">
        <v>818</v>
      </c>
      <c r="O3" s="5" t="s">
        <v>592</v>
      </c>
      <c r="Q3" s="5" t="s">
        <v>837</v>
      </c>
      <c r="R3" s="5" t="s">
        <v>818</v>
      </c>
      <c r="S3" s="5" t="s">
        <v>592</v>
      </c>
      <c r="U3" s="5"/>
      <c r="V3" s="5"/>
      <c r="W3" s="5"/>
      <c r="Z3" t="s">
        <v>572</v>
      </c>
      <c r="AA3">
        <f>K60</f>
        <v>0</v>
      </c>
      <c r="AB3">
        <f>AA3*'TX SEDS'!$S$131</f>
        <v>0</v>
      </c>
      <c r="AD3" s="1"/>
    </row>
    <row r="4" spans="1:65">
      <c r="A4" s="5" t="s">
        <v>134</v>
      </c>
      <c r="B4" s="5">
        <v>0</v>
      </c>
      <c r="C4" s="5">
        <v>325110</v>
      </c>
      <c r="E4" s="5" t="s">
        <v>134</v>
      </c>
      <c r="F4" s="5">
        <v>2190.8451988133502</v>
      </c>
      <c r="G4" s="5">
        <v>326111</v>
      </c>
      <c r="I4" s="5" t="s">
        <v>523</v>
      </c>
      <c r="J4" s="5">
        <v>4830923.0704311002</v>
      </c>
      <c r="K4" s="5">
        <v>1111</v>
      </c>
      <c r="M4" s="5" t="s">
        <v>134</v>
      </c>
      <c r="N4" s="5">
        <v>10681102.9043395</v>
      </c>
      <c r="O4" s="5">
        <v>327310</v>
      </c>
      <c r="Q4" s="5" t="s">
        <v>134</v>
      </c>
      <c r="R4" s="5">
        <v>0</v>
      </c>
      <c r="S4" s="5">
        <v>324199</v>
      </c>
      <c r="U4">
        <f>SUM(R19:R22)/1000000</f>
        <v>2.8234151787738828E-2</v>
      </c>
      <c r="Z4" t="s">
        <v>569</v>
      </c>
      <c r="AA4">
        <f>C128+G133</f>
        <v>1064311150.1019117</v>
      </c>
      <c r="AB4" s="5">
        <f>AA4*'TX SEDS'!$S$131</f>
        <v>1095467021.0518188</v>
      </c>
      <c r="AD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c r="A5" s="5" t="s">
        <v>134</v>
      </c>
      <c r="B5" s="5">
        <v>0</v>
      </c>
      <c r="C5" s="5">
        <v>325120</v>
      </c>
      <c r="E5" s="5" t="s">
        <v>134</v>
      </c>
      <c r="F5" s="5">
        <v>579.00822083050502</v>
      </c>
      <c r="G5" s="5">
        <v>326112</v>
      </c>
      <c r="I5" s="5" t="s">
        <v>523</v>
      </c>
      <c r="J5" s="5">
        <v>635012.48675638298</v>
      </c>
      <c r="K5" s="5">
        <v>1112</v>
      </c>
      <c r="M5" s="5" t="s">
        <v>823</v>
      </c>
      <c r="N5" s="5">
        <v>63689.858082381397</v>
      </c>
      <c r="O5" s="5">
        <v>327310</v>
      </c>
      <c r="Q5" s="5" t="s">
        <v>134</v>
      </c>
      <c r="R5" s="5">
        <v>668426.95161279198</v>
      </c>
      <c r="S5" s="5">
        <v>331110</v>
      </c>
      <c r="U5">
        <f>SUM(R39)/1000000</f>
        <v>2.2632295162546201E-3</v>
      </c>
      <c r="Z5" t="s">
        <v>862</v>
      </c>
      <c r="AA5">
        <f>N13+O26</f>
        <v>24309989.738181777</v>
      </c>
      <c r="AB5" s="5">
        <f>AA5*'TX SEDS'!$S$131</f>
        <v>25021622.706608199</v>
      </c>
      <c r="AD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c r="A6" s="5" t="s">
        <v>134</v>
      </c>
      <c r="B6" s="5">
        <v>798001.01858925505</v>
      </c>
      <c r="C6" s="5">
        <v>325180</v>
      </c>
      <c r="E6" s="5" t="s">
        <v>134</v>
      </c>
      <c r="F6" s="5">
        <v>1760.8644332911099</v>
      </c>
      <c r="G6" s="5">
        <v>326113</v>
      </c>
      <c r="I6" s="5" t="s">
        <v>523</v>
      </c>
      <c r="J6" s="5">
        <v>402452.09608297201</v>
      </c>
      <c r="K6" s="5">
        <v>1113</v>
      </c>
      <c r="M6" s="5" t="s">
        <v>523</v>
      </c>
      <c r="N6" s="5">
        <v>195958.85986127399</v>
      </c>
      <c r="O6" s="5">
        <v>327310</v>
      </c>
      <c r="Q6" s="5" t="s">
        <v>134</v>
      </c>
      <c r="R6" s="5">
        <v>0</v>
      </c>
      <c r="S6" s="5">
        <v>331210</v>
      </c>
      <c r="Z6" t="s">
        <v>833</v>
      </c>
      <c r="AA6" t="e">
        <f>#REF!+W13+W14</f>
        <v>#REF!</v>
      </c>
      <c r="AB6" s="5" t="e">
        <f>AA6*'TX SEDS'!$S$131</f>
        <v>#REF!</v>
      </c>
      <c r="AD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c r="A7" s="5" t="s">
        <v>134</v>
      </c>
      <c r="B7" s="5">
        <v>0</v>
      </c>
      <c r="C7" s="5">
        <v>325193</v>
      </c>
      <c r="E7" s="5" t="s">
        <v>134</v>
      </c>
      <c r="F7" s="5">
        <v>249.64163016770399</v>
      </c>
      <c r="G7" s="5">
        <v>326121</v>
      </c>
      <c r="I7" s="5" t="s">
        <v>523</v>
      </c>
      <c r="J7" s="5">
        <v>885513.05136580497</v>
      </c>
      <c r="K7" s="5">
        <v>1114</v>
      </c>
      <c r="M7" s="5" t="s">
        <v>820</v>
      </c>
      <c r="N7" s="5">
        <v>16423.372767941801</v>
      </c>
      <c r="O7" s="5">
        <v>327310</v>
      </c>
      <c r="Q7" s="5" t="s">
        <v>134</v>
      </c>
      <c r="R7" s="5">
        <v>0</v>
      </c>
      <c r="S7" s="5">
        <v>331221</v>
      </c>
      <c r="Z7" t="s">
        <v>570</v>
      </c>
      <c r="AA7">
        <f>W32</f>
        <v>5922687.7276745969</v>
      </c>
      <c r="AB7" s="5">
        <f>AA7*'TX SEDS'!$S$131</f>
        <v>6096064.182954954</v>
      </c>
      <c r="AD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c r="A8" s="5" t="s">
        <v>134</v>
      </c>
      <c r="B8" s="5">
        <v>0</v>
      </c>
      <c r="C8" s="5">
        <v>325194</v>
      </c>
      <c r="E8" s="5" t="s">
        <v>134</v>
      </c>
      <c r="F8" s="5">
        <v>778.43176100739197</v>
      </c>
      <c r="G8" s="5">
        <v>326122</v>
      </c>
      <c r="I8" s="5" t="s">
        <v>523</v>
      </c>
      <c r="J8" s="5">
        <v>143625.89735567299</v>
      </c>
      <c r="K8" s="5">
        <v>1122</v>
      </c>
      <c r="M8" s="5" t="s">
        <v>821</v>
      </c>
      <c r="N8" s="5">
        <v>3763939.82164837</v>
      </c>
      <c r="O8" s="5">
        <v>327310</v>
      </c>
      <c r="Q8" s="5" t="s">
        <v>134</v>
      </c>
      <c r="R8" s="5">
        <v>0</v>
      </c>
      <c r="S8" s="5">
        <v>331222</v>
      </c>
      <c r="AD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c r="A9" s="5" t="s">
        <v>134</v>
      </c>
      <c r="B9" s="5">
        <v>5258749.7646802599</v>
      </c>
      <c r="C9" s="5">
        <v>325199</v>
      </c>
      <c r="E9" s="5" t="s">
        <v>134</v>
      </c>
      <c r="F9" s="5">
        <v>46.531620365817197</v>
      </c>
      <c r="G9" s="5">
        <v>326130</v>
      </c>
      <c r="I9" s="5" t="s">
        <v>523</v>
      </c>
      <c r="J9" s="5">
        <v>1152037.84900545</v>
      </c>
      <c r="K9" s="5">
        <v>1123</v>
      </c>
      <c r="M9" s="5" t="s">
        <v>819</v>
      </c>
      <c r="N9" s="5">
        <v>2545647.31383351</v>
      </c>
      <c r="O9" s="5">
        <v>327310</v>
      </c>
      <c r="Q9" s="5" t="s">
        <v>823</v>
      </c>
      <c r="R9" s="5">
        <v>0</v>
      </c>
      <c r="S9" s="5">
        <v>324199</v>
      </c>
      <c r="AD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c r="A10" s="5" t="s">
        <v>134</v>
      </c>
      <c r="B10" s="5">
        <v>583929.90916420298</v>
      </c>
      <c r="C10" s="5">
        <v>325211</v>
      </c>
      <c r="E10" s="5" t="s">
        <v>134</v>
      </c>
      <c r="F10" s="5">
        <v>1108.25532224786</v>
      </c>
      <c r="G10" s="5">
        <v>326140</v>
      </c>
      <c r="I10" s="5" t="s">
        <v>523</v>
      </c>
      <c r="J10" s="5">
        <v>786476.32418118697</v>
      </c>
      <c r="K10" s="5">
        <v>1124</v>
      </c>
      <c r="M10" s="5" t="s">
        <v>784</v>
      </c>
      <c r="N10" s="5">
        <v>1063799.9136223099</v>
      </c>
      <c r="O10" s="5">
        <v>327310</v>
      </c>
      <c r="Q10" s="5" t="s">
        <v>823</v>
      </c>
      <c r="R10" s="5">
        <v>483550.71719557699</v>
      </c>
      <c r="S10" s="5">
        <v>331110</v>
      </c>
      <c r="AD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c r="A11" s="5" t="s">
        <v>134</v>
      </c>
      <c r="B11" s="5">
        <v>0</v>
      </c>
      <c r="C11" s="5">
        <v>325212</v>
      </c>
      <c r="E11" s="5" t="s">
        <v>134</v>
      </c>
      <c r="F11" s="5">
        <v>306.59705244323698</v>
      </c>
      <c r="G11" s="5">
        <v>326150</v>
      </c>
      <c r="I11" s="5" t="s">
        <v>523</v>
      </c>
      <c r="J11" s="5">
        <v>6713631.1103255199</v>
      </c>
      <c r="K11" s="5">
        <v>11192</v>
      </c>
      <c r="M11" s="5" t="s">
        <v>822</v>
      </c>
      <c r="N11" s="5">
        <v>2445.7110171395898</v>
      </c>
      <c r="O11" s="5">
        <v>327310</v>
      </c>
      <c r="Q11" s="5" t="s">
        <v>823</v>
      </c>
      <c r="R11" s="5">
        <v>0</v>
      </c>
      <c r="S11" s="5">
        <v>331210</v>
      </c>
      <c r="AD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c r="A12" s="5" t="s">
        <v>134</v>
      </c>
      <c r="B12" s="5">
        <v>53597.196454339501</v>
      </c>
      <c r="C12" s="5">
        <v>325220</v>
      </c>
      <c r="E12" s="5" t="s">
        <v>134</v>
      </c>
      <c r="F12" s="5">
        <v>600.97998826859396</v>
      </c>
      <c r="G12" s="5">
        <v>326160</v>
      </c>
      <c r="I12" s="5" t="s">
        <v>523</v>
      </c>
      <c r="J12" s="5">
        <v>1179418.38631361</v>
      </c>
      <c r="K12" s="5">
        <v>11212</v>
      </c>
      <c r="Q12" s="5" t="s">
        <v>823</v>
      </c>
      <c r="R12" s="5">
        <v>0</v>
      </c>
      <c r="S12" s="5">
        <v>331221</v>
      </c>
      <c r="AD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c r="A13" s="5" t="s">
        <v>134</v>
      </c>
      <c r="B13" s="5">
        <v>0</v>
      </c>
      <c r="C13" s="5">
        <v>325311</v>
      </c>
      <c r="E13" s="5" t="s">
        <v>134</v>
      </c>
      <c r="F13" s="5">
        <v>313.63913991111502</v>
      </c>
      <c r="G13" s="5">
        <v>326191</v>
      </c>
      <c r="I13" s="5" t="s">
        <v>523</v>
      </c>
      <c r="J13" s="5">
        <v>11476346.6845106</v>
      </c>
      <c r="K13" s="5">
        <v>112111</v>
      </c>
      <c r="N13">
        <f>SUM(N4:N11)</f>
        <v>18333007.755172424</v>
      </c>
      <c r="Q13" s="5" t="s">
        <v>823</v>
      </c>
      <c r="R13" s="5">
        <v>0</v>
      </c>
      <c r="S13" s="5">
        <v>331222</v>
      </c>
      <c r="W13">
        <f>SUM(R35:R42)</f>
        <v>616712.03650843608</v>
      </c>
      <c r="Z13" s="1" t="s">
        <v>859</v>
      </c>
      <c r="AA13" s="1" t="s">
        <v>858</v>
      </c>
      <c r="AD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c r="A14" s="5" t="s">
        <v>134</v>
      </c>
      <c r="B14" s="5">
        <v>328282.82828282798</v>
      </c>
      <c r="C14" s="5">
        <v>325312</v>
      </c>
      <c r="E14" s="5" t="s">
        <v>134</v>
      </c>
      <c r="F14" s="5">
        <v>5697.74464714236</v>
      </c>
      <c r="G14" s="5">
        <v>326199</v>
      </c>
      <c r="I14" s="5" t="s">
        <v>523</v>
      </c>
      <c r="J14" s="5">
        <v>991412.33052206202</v>
      </c>
      <c r="K14" s="5">
        <v>112112</v>
      </c>
      <c r="Q14" s="5" t="s">
        <v>523</v>
      </c>
      <c r="R14" s="5">
        <v>134645.44780559599</v>
      </c>
      <c r="S14" s="5">
        <v>331110</v>
      </c>
      <c r="Z14" s="5"/>
      <c r="AA14" s="5"/>
    </row>
    <row r="15" spans="1:65">
      <c r="A15" s="5" t="s">
        <v>134</v>
      </c>
      <c r="B15" s="5">
        <v>0</v>
      </c>
      <c r="C15" s="5">
        <v>325412</v>
      </c>
      <c r="E15" s="5" t="s">
        <v>134</v>
      </c>
      <c r="F15" s="5">
        <v>71.7487179128496</v>
      </c>
      <c r="G15" s="5">
        <v>326211</v>
      </c>
      <c r="I15" s="5" t="s">
        <v>820</v>
      </c>
      <c r="J15" s="5">
        <v>752364.49756104499</v>
      </c>
      <c r="K15" s="5">
        <v>1111</v>
      </c>
      <c r="M15" s="1" t="s">
        <v>842</v>
      </c>
      <c r="Q15" s="5" t="s">
        <v>523</v>
      </c>
      <c r="R15" s="5">
        <v>140900.739572466</v>
      </c>
      <c r="S15" s="5">
        <v>331210</v>
      </c>
      <c r="Z15" s="5" t="s">
        <v>796</v>
      </c>
      <c r="AA15" s="5" t="s">
        <v>134</v>
      </c>
    </row>
    <row r="16" spans="1:65">
      <c r="A16" s="5" t="s">
        <v>134</v>
      </c>
      <c r="B16" s="5">
        <v>0</v>
      </c>
      <c r="C16" s="5">
        <v>325992</v>
      </c>
      <c r="E16" s="5" t="s">
        <v>134</v>
      </c>
      <c r="F16" s="5">
        <v>31.461414233434901</v>
      </c>
      <c r="G16" s="5">
        <v>326212</v>
      </c>
      <c r="I16" s="5" t="s">
        <v>820</v>
      </c>
      <c r="J16" s="5">
        <v>98896.389691592005</v>
      </c>
      <c r="K16" s="5">
        <v>1112</v>
      </c>
      <c r="M16" s="5" t="s">
        <v>837</v>
      </c>
      <c r="N16" s="5" t="s">
        <v>818</v>
      </c>
      <c r="O16" s="5" t="s">
        <v>592</v>
      </c>
      <c r="Q16" s="5" t="s">
        <v>523</v>
      </c>
      <c r="R16" s="5">
        <v>21927.050390048498</v>
      </c>
      <c r="S16" s="5">
        <v>331221</v>
      </c>
      <c r="Z16" s="5"/>
      <c r="AA16" s="5" t="s">
        <v>823</v>
      </c>
      <c r="AB16" t="s">
        <v>980</v>
      </c>
      <c r="AD16" t="s">
        <v>981</v>
      </c>
    </row>
    <row r="17" spans="1:65">
      <c r="A17" s="5" t="s">
        <v>134</v>
      </c>
      <c r="B17" s="5">
        <v>2747116.25051167</v>
      </c>
      <c r="C17" s="5">
        <v>325998</v>
      </c>
      <c r="E17" s="5" t="s">
        <v>134</v>
      </c>
      <c r="F17" s="5">
        <v>36.983561918794997</v>
      </c>
      <c r="G17" s="5">
        <v>326220</v>
      </c>
      <c r="I17" s="5" t="s">
        <v>820</v>
      </c>
      <c r="J17" s="5">
        <v>62677.601081077599</v>
      </c>
      <c r="K17" s="5">
        <v>1113</v>
      </c>
      <c r="M17" s="5" t="s">
        <v>134</v>
      </c>
      <c r="N17" s="5">
        <v>911170.98904226604</v>
      </c>
      <c r="O17" s="5">
        <v>327410</v>
      </c>
      <c r="Q17" s="5" t="s">
        <v>523</v>
      </c>
      <c r="R17" s="5">
        <v>31539.301937783901</v>
      </c>
      <c r="S17" s="5">
        <v>331222</v>
      </c>
      <c r="U17" s="1" t="s">
        <v>865</v>
      </c>
      <c r="Z17" s="5" t="s">
        <v>860</v>
      </c>
      <c r="AA17" s="5" t="s">
        <v>523</v>
      </c>
      <c r="AD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c r="A18" s="5" t="s">
        <v>823</v>
      </c>
      <c r="B18" s="5">
        <v>0</v>
      </c>
      <c r="C18" s="5">
        <v>325110</v>
      </c>
      <c r="E18" s="5" t="s">
        <v>134</v>
      </c>
      <c r="F18" s="5">
        <v>97.746396112600294</v>
      </c>
      <c r="G18" s="5">
        <v>326291</v>
      </c>
      <c r="I18" s="5" t="s">
        <v>820</v>
      </c>
      <c r="J18" s="5">
        <v>137909.16813650099</v>
      </c>
      <c r="K18" s="5">
        <v>1114</v>
      </c>
      <c r="M18" s="5" t="s">
        <v>823</v>
      </c>
      <c r="N18" s="5">
        <v>0</v>
      </c>
      <c r="O18" s="5">
        <v>327410</v>
      </c>
      <c r="Q18" s="5" t="s">
        <v>820</v>
      </c>
      <c r="R18" s="5">
        <v>16397.319668900302</v>
      </c>
      <c r="S18" s="5">
        <v>324199</v>
      </c>
      <c r="U18" s="5" t="s">
        <v>837</v>
      </c>
      <c r="V18" s="5" t="s">
        <v>818</v>
      </c>
      <c r="W18" s="5" t="s">
        <v>592</v>
      </c>
      <c r="AD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c r="A19" s="5" t="s">
        <v>823</v>
      </c>
      <c r="B19" s="5">
        <v>0</v>
      </c>
      <c r="C19" s="5">
        <v>325120</v>
      </c>
      <c r="E19" s="5" t="s">
        <v>134</v>
      </c>
      <c r="F19" s="5">
        <v>136.455348357822</v>
      </c>
      <c r="G19" s="5">
        <v>326299</v>
      </c>
      <c r="I19" s="5" t="s">
        <v>820</v>
      </c>
      <c r="J19" s="5">
        <v>22368.194344091</v>
      </c>
      <c r="K19" s="5">
        <v>1122</v>
      </c>
      <c r="M19" s="5" t="s">
        <v>523</v>
      </c>
      <c r="N19" s="5">
        <v>82829.265008559902</v>
      </c>
      <c r="O19" s="5">
        <v>327410</v>
      </c>
      <c r="Q19" s="5" t="s">
        <v>820</v>
      </c>
      <c r="R19" s="5">
        <v>11074.720989225299</v>
      </c>
      <c r="S19" s="5">
        <v>331110</v>
      </c>
      <c r="U19" s="5" t="s">
        <v>134</v>
      </c>
      <c r="V19" s="5">
        <v>602096.29047125997</v>
      </c>
      <c r="W19" s="5">
        <v>212111</v>
      </c>
      <c r="Z19" s="5" t="s">
        <v>816</v>
      </c>
      <c r="AD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c r="A20" s="5" t="s">
        <v>823</v>
      </c>
      <c r="B20" s="5">
        <v>0</v>
      </c>
      <c r="C20" s="5">
        <v>325180</v>
      </c>
      <c r="E20" s="5" t="s">
        <v>823</v>
      </c>
      <c r="F20" s="5">
        <v>0</v>
      </c>
      <c r="G20" s="5">
        <v>326111</v>
      </c>
      <c r="I20" s="5" t="s">
        <v>820</v>
      </c>
      <c r="J20" s="5">
        <v>179417.54915193599</v>
      </c>
      <c r="K20" s="5">
        <v>1123</v>
      </c>
      <c r="M20" s="5" t="s">
        <v>820</v>
      </c>
      <c r="N20" s="5">
        <v>5215.1238591916599</v>
      </c>
      <c r="O20" s="5">
        <v>327410</v>
      </c>
      <c r="Q20" s="5" t="s">
        <v>820</v>
      </c>
      <c r="R20" s="5">
        <v>13026.979667059401</v>
      </c>
      <c r="S20" s="5">
        <v>331210</v>
      </c>
      <c r="U20" s="5" t="s">
        <v>134</v>
      </c>
      <c r="V20" s="5">
        <v>17813.502308898998</v>
      </c>
      <c r="W20" s="5">
        <v>212112</v>
      </c>
      <c r="Z20" s="5" t="s">
        <v>340</v>
      </c>
      <c r="AA20" s="5" t="s">
        <v>820</v>
      </c>
      <c r="AB20" t="s">
        <v>885</v>
      </c>
      <c r="AD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c r="A21" s="5" t="s">
        <v>823</v>
      </c>
      <c r="B21" s="5">
        <v>0</v>
      </c>
      <c r="C21" s="5">
        <v>325193</v>
      </c>
      <c r="E21" s="5" t="s">
        <v>823</v>
      </c>
      <c r="F21" s="5">
        <v>0</v>
      </c>
      <c r="G21" s="5">
        <v>326112</v>
      </c>
      <c r="I21" s="5" t="s">
        <v>820</v>
      </c>
      <c r="J21" s="5">
        <v>122485.259206049</v>
      </c>
      <c r="K21" s="5">
        <v>1124</v>
      </c>
      <c r="M21" s="5" t="s">
        <v>821</v>
      </c>
      <c r="N21" s="5">
        <v>2113798.16735599</v>
      </c>
      <c r="O21" s="5">
        <v>327410</v>
      </c>
      <c r="Q21" s="5" t="s">
        <v>820</v>
      </c>
      <c r="R21" s="5">
        <v>1701.5619807245</v>
      </c>
      <c r="S21" s="5">
        <v>331221</v>
      </c>
      <c r="U21" s="5" t="s">
        <v>523</v>
      </c>
      <c r="V21" s="5">
        <v>2501825.5507735899</v>
      </c>
      <c r="W21" s="5">
        <v>212111</v>
      </c>
      <c r="Z21" s="5" t="s">
        <v>797</v>
      </c>
      <c r="AA21" s="5" t="s">
        <v>821</v>
      </c>
      <c r="AD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c r="A22" s="5" t="s">
        <v>823</v>
      </c>
      <c r="B22" s="5">
        <v>0</v>
      </c>
      <c r="C22" s="5">
        <v>325194</v>
      </c>
      <c r="E22" s="5" t="s">
        <v>823</v>
      </c>
      <c r="F22" s="5">
        <v>0</v>
      </c>
      <c r="G22" s="5">
        <v>326113</v>
      </c>
      <c r="I22" s="5" t="s">
        <v>820</v>
      </c>
      <c r="J22" s="5">
        <v>1045576.09870602</v>
      </c>
      <c r="K22" s="5">
        <v>11192</v>
      </c>
      <c r="M22" s="5" t="s">
        <v>819</v>
      </c>
      <c r="N22" s="5">
        <v>213985.82019338699</v>
      </c>
      <c r="O22" s="5">
        <v>327410</v>
      </c>
      <c r="Q22" s="5" t="s">
        <v>820</v>
      </c>
      <c r="R22" s="5">
        <v>2430.8891507296298</v>
      </c>
      <c r="S22" s="5">
        <v>331222</v>
      </c>
      <c r="U22" s="5" t="s">
        <v>523</v>
      </c>
      <c r="V22" s="5">
        <v>53067.892602340602</v>
      </c>
      <c r="W22" s="5">
        <v>212112</v>
      </c>
      <c r="Z22" s="5" t="s">
        <v>813</v>
      </c>
      <c r="AA22" s="5" t="s">
        <v>819</v>
      </c>
      <c r="AB22" t="s">
        <v>883</v>
      </c>
      <c r="AD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c r="A23" s="5" t="s">
        <v>823</v>
      </c>
      <c r="B23" s="5">
        <v>0</v>
      </c>
      <c r="C23" s="5">
        <v>325199</v>
      </c>
      <c r="E23" s="5" t="s">
        <v>823</v>
      </c>
      <c r="F23" s="5">
        <v>0</v>
      </c>
      <c r="G23" s="5">
        <v>326121</v>
      </c>
      <c r="I23" s="5" t="s">
        <v>820</v>
      </c>
      <c r="J23" s="5">
        <v>183681.77441374899</v>
      </c>
      <c r="K23" s="5">
        <v>11212</v>
      </c>
      <c r="M23" s="5" t="s">
        <v>784</v>
      </c>
      <c r="N23" s="5">
        <v>2649982.61754996</v>
      </c>
      <c r="O23" s="5">
        <v>327410</v>
      </c>
      <c r="Q23" s="5" t="s">
        <v>821</v>
      </c>
      <c r="R23" s="5">
        <v>952337.56220086897</v>
      </c>
      <c r="S23" s="5">
        <v>324199</v>
      </c>
      <c r="U23" s="5" t="s">
        <v>821</v>
      </c>
      <c r="V23" s="5">
        <v>70115.861649838596</v>
      </c>
      <c r="W23" s="5">
        <v>212111</v>
      </c>
      <c r="Z23" s="5"/>
      <c r="AD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c r="A24" s="5" t="s">
        <v>823</v>
      </c>
      <c r="B24" s="5">
        <v>0</v>
      </c>
      <c r="C24" s="5">
        <v>325211</v>
      </c>
      <c r="E24" s="5" t="s">
        <v>823</v>
      </c>
      <c r="F24" s="5">
        <v>0</v>
      </c>
      <c r="G24" s="5">
        <v>326122</v>
      </c>
      <c r="I24" s="5" t="s">
        <v>820</v>
      </c>
      <c r="J24" s="5">
        <v>1787318.0096733901</v>
      </c>
      <c r="K24" s="5">
        <v>112111</v>
      </c>
      <c r="M24" s="5" t="s">
        <v>822</v>
      </c>
      <c r="N24" s="5">
        <v>0</v>
      </c>
      <c r="O24" s="5">
        <v>327410</v>
      </c>
      <c r="Q24" s="5" t="s">
        <v>821</v>
      </c>
      <c r="R24" s="5">
        <v>5293372.9906000001</v>
      </c>
      <c r="S24" s="5">
        <v>331110</v>
      </c>
      <c r="U24" s="5" t="s">
        <v>821</v>
      </c>
      <c r="V24" s="5">
        <v>11180.833513595</v>
      </c>
      <c r="W24" s="5">
        <v>212112</v>
      </c>
      <c r="Z24" s="5" t="s">
        <v>861</v>
      </c>
      <c r="AA24" s="5" t="s">
        <v>822</v>
      </c>
      <c r="AD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c r="A25" s="5" t="s">
        <v>823</v>
      </c>
      <c r="B25" s="5">
        <v>0</v>
      </c>
      <c r="C25" s="5">
        <v>325212</v>
      </c>
      <c r="E25" s="5" t="s">
        <v>823</v>
      </c>
      <c r="F25" s="5">
        <v>0</v>
      </c>
      <c r="G25" s="5">
        <v>326130</v>
      </c>
      <c r="I25" s="5" t="s">
        <v>820</v>
      </c>
      <c r="J25" s="5">
        <v>154401.845993895</v>
      </c>
      <c r="K25" s="5">
        <v>112112</v>
      </c>
      <c r="Q25" s="5" t="s">
        <v>821</v>
      </c>
      <c r="R25" s="5">
        <v>3056213.6354110101</v>
      </c>
      <c r="S25" s="5">
        <v>331210</v>
      </c>
      <c r="U25" s="5" t="s">
        <v>819</v>
      </c>
      <c r="V25" s="5">
        <v>772183.24803639005</v>
      </c>
      <c r="W25" s="5">
        <v>212111</v>
      </c>
      <c r="Z25" s="5"/>
      <c r="AD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c r="A26" s="5" t="s">
        <v>823</v>
      </c>
      <c r="B26" s="5">
        <v>0</v>
      </c>
      <c r="C26" s="5">
        <v>325220</v>
      </c>
      <c r="E26" s="5" t="s">
        <v>823</v>
      </c>
      <c r="F26" s="5">
        <v>0</v>
      </c>
      <c r="G26" s="5">
        <v>326140</v>
      </c>
      <c r="I26" s="5" t="s">
        <v>819</v>
      </c>
      <c r="J26" s="5">
        <v>1964660.9507567701</v>
      </c>
      <c r="K26" s="5">
        <v>1111</v>
      </c>
      <c r="O26">
        <f>SUM(N17:N24)</f>
        <v>5976981.9830093551</v>
      </c>
      <c r="Q26" s="5" t="s">
        <v>821</v>
      </c>
      <c r="R26" s="5">
        <v>65343.280073488699</v>
      </c>
      <c r="S26" s="5">
        <v>331221</v>
      </c>
      <c r="U26" s="5" t="s">
        <v>819</v>
      </c>
      <c r="V26" s="5">
        <v>304449.53170348099</v>
      </c>
      <c r="W26" s="5">
        <v>212112</v>
      </c>
      <c r="Z26" s="5" t="s">
        <v>339</v>
      </c>
      <c r="AD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c r="A27" s="5" t="s">
        <v>823</v>
      </c>
      <c r="B27" s="5">
        <v>0</v>
      </c>
      <c r="C27" s="5">
        <v>325311</v>
      </c>
      <c r="E27" s="5" t="s">
        <v>823</v>
      </c>
      <c r="F27" s="5">
        <v>0</v>
      </c>
      <c r="G27" s="5">
        <v>326150</v>
      </c>
      <c r="I27" s="5" t="s">
        <v>819</v>
      </c>
      <c r="J27" s="5">
        <v>405001.88801389601</v>
      </c>
      <c r="K27" s="5">
        <v>1112</v>
      </c>
      <c r="M27" t="s">
        <v>1187</v>
      </c>
      <c r="N27">
        <f>(N20+N7)/1000000</f>
        <v>2.163849662713346E-2</v>
      </c>
      <c r="Q27" s="5" t="s">
        <v>821</v>
      </c>
      <c r="R27" s="5">
        <v>106773.370807018</v>
      </c>
      <c r="S27" s="5">
        <v>331222</v>
      </c>
      <c r="U27" s="5" t="s">
        <v>784</v>
      </c>
      <c r="V27" s="5">
        <v>242152.44095180999</v>
      </c>
      <c r="W27" s="5">
        <v>212111</v>
      </c>
      <c r="Z27" s="5" t="s">
        <v>815</v>
      </c>
    </row>
    <row r="28" spans="1:65">
      <c r="A28" s="5" t="s">
        <v>823</v>
      </c>
      <c r="B28" s="5">
        <v>0</v>
      </c>
      <c r="C28" s="5">
        <v>325312</v>
      </c>
      <c r="E28" s="5" t="s">
        <v>823</v>
      </c>
      <c r="F28" s="5">
        <v>0</v>
      </c>
      <c r="G28" s="5">
        <v>326160</v>
      </c>
      <c r="I28" s="5" t="s">
        <v>819</v>
      </c>
      <c r="J28" s="5">
        <v>290562.09485931502</v>
      </c>
      <c r="K28" s="5">
        <v>1113</v>
      </c>
      <c r="Q28" s="5" t="s">
        <v>819</v>
      </c>
      <c r="R28" s="5">
        <v>135510.990278513</v>
      </c>
      <c r="S28" s="5">
        <v>324199</v>
      </c>
      <c r="U28" s="5" t="s">
        <v>784</v>
      </c>
      <c r="V28" s="5">
        <v>12755.265938304299</v>
      </c>
      <c r="W28" s="5">
        <v>212112</v>
      </c>
      <c r="Z28" s="5" t="s">
        <v>817</v>
      </c>
      <c r="AD28" s="2" t="s">
        <v>878</v>
      </c>
      <c r="AE28" s="8"/>
      <c r="AF28" s="8"/>
      <c r="AG28" s="8"/>
      <c r="AH28" s="8"/>
    </row>
    <row r="29" spans="1:65">
      <c r="A29" s="5" t="s">
        <v>823</v>
      </c>
      <c r="B29" s="5">
        <v>0</v>
      </c>
      <c r="C29" s="5">
        <v>325412</v>
      </c>
      <c r="E29" s="5" t="s">
        <v>823</v>
      </c>
      <c r="F29" s="5">
        <v>0</v>
      </c>
      <c r="G29" s="5">
        <v>326191</v>
      </c>
      <c r="I29" s="5" t="s">
        <v>819</v>
      </c>
      <c r="J29" s="5">
        <v>714589.63818811404</v>
      </c>
      <c r="K29" s="5">
        <v>1114</v>
      </c>
      <c r="Q29" s="5" t="s">
        <v>819</v>
      </c>
      <c r="R29" s="5">
        <v>15850285.462699801</v>
      </c>
      <c r="S29" s="5">
        <v>331110</v>
      </c>
      <c r="U29" s="5" t="s">
        <v>822</v>
      </c>
      <c r="V29" s="5">
        <v>1281766.6158282501</v>
      </c>
      <c r="W29" s="5">
        <v>212111</v>
      </c>
      <c r="AA29" s="5" t="s">
        <v>784</v>
      </c>
      <c r="AD29" s="5" t="s">
        <v>872</v>
      </c>
      <c r="AE29" s="5"/>
      <c r="AF29" s="5"/>
      <c r="AG29" s="5"/>
      <c r="AH29" s="5"/>
    </row>
    <row r="30" spans="1:65">
      <c r="A30" s="5" t="s">
        <v>823</v>
      </c>
      <c r="B30" s="5">
        <v>0</v>
      </c>
      <c r="C30" s="5">
        <v>325992</v>
      </c>
      <c r="E30" s="5" t="s">
        <v>823</v>
      </c>
      <c r="F30" s="5">
        <v>0</v>
      </c>
      <c r="G30" s="5">
        <v>326199</v>
      </c>
      <c r="I30" s="5" t="s">
        <v>819</v>
      </c>
      <c r="J30" s="5">
        <v>122729.76984438</v>
      </c>
      <c r="K30" s="5">
        <v>1122</v>
      </c>
      <c r="Q30" s="5" t="s">
        <v>819</v>
      </c>
      <c r="R30" s="5">
        <v>1762316.1247569299</v>
      </c>
      <c r="S30" s="5">
        <v>331210</v>
      </c>
      <c r="U30" s="5" t="s">
        <v>822</v>
      </c>
      <c r="V30" s="5">
        <v>53280.693896836397</v>
      </c>
      <c r="W30" s="5">
        <v>212112</v>
      </c>
      <c r="Z30" s="5"/>
      <c r="AA30" t="s">
        <v>987</v>
      </c>
      <c r="AD30" s="132" t="s">
        <v>836</v>
      </c>
      <c r="AE30" s="5"/>
      <c r="AF30" s="5"/>
      <c r="AG30" s="5"/>
      <c r="AH30" s="5"/>
    </row>
    <row r="31" spans="1:65">
      <c r="A31" s="5" t="s">
        <v>523</v>
      </c>
      <c r="B31" s="5">
        <v>246335.699505094</v>
      </c>
      <c r="C31" s="5">
        <v>325110</v>
      </c>
      <c r="E31" s="5" t="s">
        <v>823</v>
      </c>
      <c r="F31" s="5">
        <v>0</v>
      </c>
      <c r="G31" s="5">
        <v>326211</v>
      </c>
      <c r="I31" s="5" t="s">
        <v>819</v>
      </c>
      <c r="J31" s="5">
        <v>1750010.9029802899</v>
      </c>
      <c r="K31" s="5">
        <v>1123</v>
      </c>
      <c r="M31" s="1" t="s">
        <v>869</v>
      </c>
      <c r="Q31" s="5" t="s">
        <v>819</v>
      </c>
      <c r="R31" s="5">
        <v>150700.823491371</v>
      </c>
      <c r="S31" s="5">
        <v>331221</v>
      </c>
      <c r="Z31" s="5"/>
      <c r="AD31" s="5" t="s">
        <v>824</v>
      </c>
      <c r="AE31" s="5" t="s">
        <v>825</v>
      </c>
      <c r="AF31" s="5" t="s">
        <v>826</v>
      </c>
      <c r="AG31" s="5"/>
      <c r="AH31" s="5"/>
    </row>
    <row r="32" spans="1:65">
      <c r="A32" s="5" t="s">
        <v>523</v>
      </c>
      <c r="B32" s="5">
        <v>8136.8295290196902</v>
      </c>
      <c r="C32" s="5">
        <v>325120</v>
      </c>
      <c r="E32" s="5" t="s">
        <v>823</v>
      </c>
      <c r="F32" s="5">
        <v>0</v>
      </c>
      <c r="G32" s="5">
        <v>326212</v>
      </c>
      <c r="I32" s="5" t="s">
        <v>819</v>
      </c>
      <c r="J32" s="5">
        <v>439559.33873612399</v>
      </c>
      <c r="K32" s="5">
        <v>1124</v>
      </c>
      <c r="M32" s="5" t="s">
        <v>837</v>
      </c>
      <c r="N32" s="5" t="s">
        <v>818</v>
      </c>
      <c r="O32" s="5" t="s">
        <v>592</v>
      </c>
      <c r="Q32" s="5" t="s">
        <v>819</v>
      </c>
      <c r="R32" s="5">
        <v>250971.22880542499</v>
      </c>
      <c r="S32" s="5">
        <v>331222</v>
      </c>
      <c r="W32">
        <f>SUM(V19:V30)</f>
        <v>5922687.7276745969</v>
      </c>
      <c r="AD32" s="5" t="s">
        <v>572</v>
      </c>
      <c r="AE32" s="5">
        <v>11</v>
      </c>
      <c r="AF32" s="5" t="s">
        <v>827</v>
      </c>
      <c r="AG32" s="5"/>
      <c r="AH32" s="5"/>
    </row>
    <row r="33" spans="1:34">
      <c r="A33" s="5" t="s">
        <v>523</v>
      </c>
      <c r="B33" s="5">
        <v>12466.491973133299</v>
      </c>
      <c r="C33" s="5">
        <v>325180</v>
      </c>
      <c r="E33" s="5" t="s">
        <v>823</v>
      </c>
      <c r="F33" s="5">
        <v>0</v>
      </c>
      <c r="G33" s="5">
        <v>326220</v>
      </c>
      <c r="I33" s="5" t="s">
        <v>819</v>
      </c>
      <c r="J33" s="5">
        <v>4179005.8354541901</v>
      </c>
      <c r="K33" s="5">
        <v>11192</v>
      </c>
      <c r="M33" s="5" t="s">
        <v>134</v>
      </c>
      <c r="N33" s="5">
        <v>21553484.398426499</v>
      </c>
      <c r="O33" s="5">
        <v>211111</v>
      </c>
      <c r="Q33" s="5" t="s">
        <v>784</v>
      </c>
      <c r="R33" s="5">
        <v>5732835.3895742502</v>
      </c>
      <c r="S33" s="5">
        <v>324199</v>
      </c>
      <c r="AD33" s="5"/>
      <c r="AE33" s="5"/>
      <c r="AF33" s="5"/>
      <c r="AG33" s="5"/>
      <c r="AH33" s="5"/>
    </row>
    <row r="34" spans="1:34">
      <c r="A34" s="5" t="s">
        <v>523</v>
      </c>
      <c r="B34" s="5">
        <v>421.84964845862601</v>
      </c>
      <c r="C34" s="5">
        <v>325181</v>
      </c>
      <c r="E34" s="5" t="s">
        <v>823</v>
      </c>
      <c r="F34" s="5">
        <v>0</v>
      </c>
      <c r="G34" s="5">
        <v>326291</v>
      </c>
      <c r="I34" s="5" t="s">
        <v>819</v>
      </c>
      <c r="J34" s="5">
        <v>1385410.74044311</v>
      </c>
      <c r="K34" s="5">
        <v>11212</v>
      </c>
      <c r="M34" s="5" t="s">
        <v>523</v>
      </c>
      <c r="N34" s="5">
        <v>17602479.166478299</v>
      </c>
      <c r="O34" s="5">
        <v>211111</v>
      </c>
      <c r="Q34" s="5" t="s">
        <v>784</v>
      </c>
      <c r="R34" s="5">
        <v>517501.290985303</v>
      </c>
      <c r="S34" s="5">
        <v>331110</v>
      </c>
      <c r="AD34" s="5" t="s">
        <v>569</v>
      </c>
      <c r="AE34" s="5">
        <v>325</v>
      </c>
      <c r="AF34" s="5" t="s">
        <v>828</v>
      </c>
      <c r="AG34" s="5"/>
      <c r="AH34" s="5"/>
    </row>
    <row r="35" spans="1:34">
      <c r="A35" s="5" t="s">
        <v>523</v>
      </c>
      <c r="B35" s="5">
        <v>383.99134667387801</v>
      </c>
      <c r="C35" s="5">
        <v>325188</v>
      </c>
      <c r="E35" s="5" t="s">
        <v>823</v>
      </c>
      <c r="F35" s="5">
        <v>0</v>
      </c>
      <c r="G35" s="5">
        <v>326299</v>
      </c>
      <c r="I35" s="5" t="s">
        <v>819</v>
      </c>
      <c r="J35" s="5">
        <v>5618412.5926507805</v>
      </c>
      <c r="K35" s="5">
        <v>112111</v>
      </c>
      <c r="M35" s="5" t="s">
        <v>523</v>
      </c>
      <c r="N35" s="5">
        <v>215187.16792398199</v>
      </c>
      <c r="O35" s="5">
        <v>211112</v>
      </c>
      <c r="Q35" s="5" t="s">
        <v>784</v>
      </c>
      <c r="R35" s="5">
        <v>575827.63115277502</v>
      </c>
      <c r="S35" s="5">
        <v>331210</v>
      </c>
      <c r="AD35" s="5"/>
      <c r="AE35" s="5">
        <v>326</v>
      </c>
      <c r="AF35" s="5" t="s">
        <v>829</v>
      </c>
      <c r="AG35" s="5"/>
      <c r="AH35" s="5"/>
    </row>
    <row r="36" spans="1:34">
      <c r="A36" s="5" t="s">
        <v>523</v>
      </c>
      <c r="B36" s="5">
        <v>40.562466197944801</v>
      </c>
      <c r="C36" s="5">
        <v>325192</v>
      </c>
      <c r="E36" s="5" t="s">
        <v>523</v>
      </c>
      <c r="F36" s="5">
        <v>7871.5774569163596</v>
      </c>
      <c r="G36" s="5">
        <v>326111</v>
      </c>
      <c r="I36" s="5" t="s">
        <v>819</v>
      </c>
      <c r="J36" s="5">
        <v>750036.43506863399</v>
      </c>
      <c r="K36" s="5">
        <v>112112</v>
      </c>
      <c r="M36" s="5" t="s">
        <v>820</v>
      </c>
      <c r="N36" s="5">
        <v>4057856.3762757201</v>
      </c>
      <c r="O36" s="5">
        <v>211112</v>
      </c>
      <c r="Q36" s="5" t="s">
        <v>784</v>
      </c>
      <c r="R36" s="5">
        <v>13749.081703624201</v>
      </c>
      <c r="S36" s="5">
        <v>331221</v>
      </c>
      <c r="U36" s="1" t="s">
        <v>879</v>
      </c>
      <c r="AD36" s="5"/>
      <c r="AE36" s="5"/>
      <c r="AF36" s="5"/>
      <c r="AG36" s="5"/>
      <c r="AH36" s="5"/>
    </row>
    <row r="37" spans="1:34">
      <c r="A37" s="5" t="s">
        <v>523</v>
      </c>
      <c r="B37" s="5">
        <v>5376.3440860215096</v>
      </c>
      <c r="C37" s="5">
        <v>325193</v>
      </c>
      <c r="E37" s="5" t="s">
        <v>523</v>
      </c>
      <c r="F37" s="5">
        <v>2965.38676407309</v>
      </c>
      <c r="G37" s="5">
        <v>326112</v>
      </c>
      <c r="I37" s="5" t="s">
        <v>784</v>
      </c>
      <c r="J37" s="5">
        <v>1421770.57247595</v>
      </c>
      <c r="K37" s="5">
        <v>1111</v>
      </c>
      <c r="M37" s="5" t="s">
        <v>821</v>
      </c>
      <c r="N37" s="5">
        <v>721052039.75145102</v>
      </c>
      <c r="O37" s="5">
        <v>211111</v>
      </c>
      <c r="Q37" s="5" t="s">
        <v>784</v>
      </c>
      <c r="R37" s="5">
        <v>24872.094135782201</v>
      </c>
      <c r="S37" s="5">
        <v>331222</v>
      </c>
      <c r="U37" s="145" t="s">
        <v>837</v>
      </c>
      <c r="V37" s="145" t="s">
        <v>818</v>
      </c>
      <c r="W37" s="145" t="s">
        <v>592</v>
      </c>
      <c r="AD37" s="5" t="s">
        <v>830</v>
      </c>
      <c r="AE37" s="5">
        <v>327310</v>
      </c>
      <c r="AF37" s="5" t="s">
        <v>831</v>
      </c>
      <c r="AG37" s="5"/>
      <c r="AH37" s="5"/>
    </row>
    <row r="38" spans="1:34">
      <c r="A38" s="5" t="s">
        <v>523</v>
      </c>
      <c r="B38" s="5">
        <v>7480.1309022907999</v>
      </c>
      <c r="C38" s="5">
        <v>325194</v>
      </c>
      <c r="E38" s="5" t="s">
        <v>523</v>
      </c>
      <c r="F38" s="5">
        <v>6425.36877052817</v>
      </c>
      <c r="G38" s="5">
        <v>326113</v>
      </c>
      <c r="I38" s="5" t="s">
        <v>784</v>
      </c>
      <c r="J38" s="5">
        <v>186888.10681980799</v>
      </c>
      <c r="K38" s="5">
        <v>1112</v>
      </c>
      <c r="M38" s="5" t="s">
        <v>821</v>
      </c>
      <c r="N38" s="5">
        <v>354794272.93673003</v>
      </c>
      <c r="O38" s="5">
        <v>211112</v>
      </c>
      <c r="Q38" s="5" t="s">
        <v>822</v>
      </c>
      <c r="R38" s="5">
        <v>0</v>
      </c>
      <c r="S38" s="5">
        <v>324199</v>
      </c>
      <c r="U38" s="145" t="s">
        <v>134</v>
      </c>
      <c r="V38" s="145">
        <v>0</v>
      </c>
      <c r="W38" s="145">
        <v>334413</v>
      </c>
      <c r="AD38" s="5"/>
      <c r="AE38" s="5">
        <v>327410</v>
      </c>
      <c r="AF38" s="5" t="s">
        <v>832</v>
      </c>
      <c r="AG38" s="5"/>
      <c r="AH38" s="5"/>
    </row>
    <row r="39" spans="1:34">
      <c r="A39" s="5" t="s">
        <v>523</v>
      </c>
      <c r="B39" s="5">
        <v>321283.56546157401</v>
      </c>
      <c r="C39" s="5">
        <v>325199</v>
      </c>
      <c r="E39" s="5" t="s">
        <v>523</v>
      </c>
      <c r="F39" s="5">
        <v>1684.47288167038</v>
      </c>
      <c r="G39" s="5">
        <v>326121</v>
      </c>
      <c r="I39" s="5" t="s">
        <v>784</v>
      </c>
      <c r="J39" s="5">
        <v>118444.143841639</v>
      </c>
      <c r="K39" s="5">
        <v>1113</v>
      </c>
      <c r="M39" s="5" t="s">
        <v>819</v>
      </c>
      <c r="N39" s="5">
        <v>78693950.303389296</v>
      </c>
      <c r="O39" s="5">
        <v>211111</v>
      </c>
      <c r="Q39" s="5" t="s">
        <v>822</v>
      </c>
      <c r="R39" s="5">
        <v>2263.2295162546202</v>
      </c>
      <c r="S39" s="5">
        <v>331110</v>
      </c>
      <c r="U39" s="145" t="s">
        <v>823</v>
      </c>
      <c r="V39" s="145">
        <v>0</v>
      </c>
      <c r="W39" s="145">
        <v>334413</v>
      </c>
      <c r="AD39" s="5"/>
      <c r="AE39" s="5"/>
      <c r="AF39" s="5"/>
      <c r="AG39" s="5"/>
      <c r="AH39" s="5"/>
    </row>
    <row r="40" spans="1:34">
      <c r="A40" s="5" t="s">
        <v>523</v>
      </c>
      <c r="B40" s="5">
        <v>254828.084031926</v>
      </c>
      <c r="C40" s="5">
        <v>325211</v>
      </c>
      <c r="E40" s="5" t="s">
        <v>523</v>
      </c>
      <c r="F40" s="5">
        <v>4662.5877330683397</v>
      </c>
      <c r="G40" s="5">
        <v>326122</v>
      </c>
      <c r="I40" s="5" t="s">
        <v>784</v>
      </c>
      <c r="J40" s="5">
        <v>260611.97407205601</v>
      </c>
      <c r="K40" s="5">
        <v>1114</v>
      </c>
      <c r="M40" s="5" t="s">
        <v>819</v>
      </c>
      <c r="N40" s="5">
        <v>6650248.1396382404</v>
      </c>
      <c r="O40" s="5">
        <v>211112</v>
      </c>
      <c r="Q40" s="5" t="s">
        <v>822</v>
      </c>
      <c r="R40" s="5">
        <v>0</v>
      </c>
      <c r="S40" s="5">
        <v>331210</v>
      </c>
      <c r="U40" s="145" t="s">
        <v>523</v>
      </c>
      <c r="V40" s="145">
        <v>33280.47</v>
      </c>
      <c r="W40" s="145">
        <v>334413</v>
      </c>
      <c r="AD40" s="5" t="s">
        <v>833</v>
      </c>
      <c r="AE40" s="5">
        <v>331110</v>
      </c>
      <c r="AF40" s="5" t="s">
        <v>834</v>
      </c>
      <c r="AG40" s="5"/>
      <c r="AH40" s="5"/>
    </row>
    <row r="41" spans="1:34">
      <c r="A41" s="5" t="s">
        <v>523</v>
      </c>
      <c r="B41" s="5">
        <v>14095.9609650312</v>
      </c>
      <c r="C41" s="5">
        <v>325212</v>
      </c>
      <c r="E41" s="5" t="s">
        <v>523</v>
      </c>
      <c r="F41" s="5">
        <v>550.30385236803397</v>
      </c>
      <c r="G41" s="5">
        <v>326130</v>
      </c>
      <c r="I41" s="5" t="s">
        <v>784</v>
      </c>
      <c r="J41" s="5">
        <v>42269.990916565199</v>
      </c>
      <c r="K41" s="5">
        <v>1122</v>
      </c>
      <c r="M41" s="5" t="s">
        <v>784</v>
      </c>
      <c r="N41" s="5">
        <v>33793589.880371898</v>
      </c>
      <c r="O41" s="5">
        <v>211111</v>
      </c>
      <c r="Q41" s="5" t="s">
        <v>822</v>
      </c>
      <c r="R41" s="5">
        <v>0</v>
      </c>
      <c r="S41" s="5">
        <v>331221</v>
      </c>
      <c r="U41" s="145" t="s">
        <v>820</v>
      </c>
      <c r="V41" s="145">
        <v>30125.437900000001</v>
      </c>
      <c r="W41" s="145">
        <v>334413</v>
      </c>
      <c r="AD41" s="3"/>
      <c r="AE41" s="5">
        <v>3312</v>
      </c>
      <c r="AF41" s="5" t="s">
        <v>835</v>
      </c>
      <c r="AG41" s="5"/>
      <c r="AH41" s="5"/>
    </row>
    <row r="42" spans="1:34">
      <c r="A42" s="5" t="s">
        <v>523</v>
      </c>
      <c r="B42" s="5">
        <v>4301.0752688172097</v>
      </c>
      <c r="C42" s="5">
        <v>325220</v>
      </c>
      <c r="E42" s="5" t="s">
        <v>523</v>
      </c>
      <c r="F42" s="5">
        <v>5101.9725625075898</v>
      </c>
      <c r="G42" s="5">
        <v>326140</v>
      </c>
      <c r="I42" s="5" t="s">
        <v>784</v>
      </c>
      <c r="J42" s="5">
        <v>339051.87232639501</v>
      </c>
      <c r="K42" s="5">
        <v>1123</v>
      </c>
      <c r="M42" s="5" t="s">
        <v>784</v>
      </c>
      <c r="N42" s="5">
        <v>3305508.1251205201</v>
      </c>
      <c r="O42" s="5">
        <v>211112</v>
      </c>
      <c r="Q42" s="5" t="s">
        <v>822</v>
      </c>
      <c r="R42" s="5">
        <v>0</v>
      </c>
      <c r="S42" s="5">
        <v>331222</v>
      </c>
      <c r="U42" s="145" t="s">
        <v>821</v>
      </c>
      <c r="V42" s="145">
        <v>4715173.62</v>
      </c>
      <c r="W42" s="145">
        <v>334411</v>
      </c>
      <c r="AD42" s="5"/>
      <c r="AE42" s="18">
        <v>324199</v>
      </c>
      <c r="AF42" s="36" t="s">
        <v>984</v>
      </c>
      <c r="AH42" s="5"/>
    </row>
    <row r="43" spans="1:34">
      <c r="A43" s="5" t="s">
        <v>523</v>
      </c>
      <c r="B43" s="5">
        <v>8338.8193987272407</v>
      </c>
      <c r="C43" s="5">
        <v>325311</v>
      </c>
      <c r="E43" s="5" t="s">
        <v>523</v>
      </c>
      <c r="F43" s="5">
        <v>4010.5165099605001</v>
      </c>
      <c r="G43" s="5">
        <v>326150</v>
      </c>
      <c r="I43" s="5" t="s">
        <v>784</v>
      </c>
      <c r="J43" s="5">
        <v>231464.852030874</v>
      </c>
      <c r="K43" s="5">
        <v>1124</v>
      </c>
      <c r="M43" s="5" t="s">
        <v>822</v>
      </c>
      <c r="N43" s="5">
        <v>2959533.3354052799</v>
      </c>
      <c r="O43" s="5">
        <v>211111</v>
      </c>
      <c r="U43" s="145" t="s">
        <v>821</v>
      </c>
      <c r="V43" s="145">
        <v>3507631.46</v>
      </c>
      <c r="W43" s="145">
        <v>334413</v>
      </c>
      <c r="AD43" s="5"/>
      <c r="AE43" s="5"/>
      <c r="AF43" s="5"/>
      <c r="AG43" s="5"/>
      <c r="AH43" s="5"/>
    </row>
    <row r="44" spans="1:34">
      <c r="A44" s="5" t="s">
        <v>523</v>
      </c>
      <c r="B44" s="5">
        <v>129032.25806451601</v>
      </c>
      <c r="C44" s="5">
        <v>325312</v>
      </c>
      <c r="E44" s="5" t="s">
        <v>523</v>
      </c>
      <c r="F44" s="5">
        <v>3047.6845779645901</v>
      </c>
      <c r="G44" s="5">
        <v>326160</v>
      </c>
      <c r="I44" s="5" t="s">
        <v>784</v>
      </c>
      <c r="J44" s="5">
        <v>1975863.2062563701</v>
      </c>
      <c r="K44" s="5">
        <v>11192</v>
      </c>
      <c r="M44" s="5" t="s">
        <v>822</v>
      </c>
      <c r="N44" s="5">
        <v>31825.892132504101</v>
      </c>
      <c r="O44" s="5">
        <v>211112</v>
      </c>
      <c r="Q44">
        <v>324199</v>
      </c>
      <c r="R44">
        <f>SUM(R41,R36,R31,R26,R21,R12,R7)</f>
        <v>231494.74724920839</v>
      </c>
      <c r="U44" s="145" t="s">
        <v>819</v>
      </c>
      <c r="V44" s="145">
        <v>7954619.4199999999</v>
      </c>
      <c r="W44" s="145">
        <v>334413</v>
      </c>
      <c r="AD44" s="5" t="s">
        <v>570</v>
      </c>
      <c r="AE44" s="5">
        <v>212111</v>
      </c>
      <c r="AF44" s="5" t="s">
        <v>868</v>
      </c>
      <c r="AG44" s="5"/>
      <c r="AH44" s="5"/>
    </row>
    <row r="45" spans="1:34">
      <c r="A45" s="5" t="s">
        <v>523</v>
      </c>
      <c r="B45" s="5">
        <v>15302.072210496701</v>
      </c>
      <c r="C45" s="5">
        <v>325412</v>
      </c>
      <c r="E45" s="5" t="s">
        <v>523</v>
      </c>
      <c r="F45" s="5">
        <v>2796.5666203020801</v>
      </c>
      <c r="G45" s="5">
        <v>326191</v>
      </c>
      <c r="I45" s="5" t="s">
        <v>784</v>
      </c>
      <c r="J45" s="5">
        <v>347110.13399518502</v>
      </c>
      <c r="K45" s="5">
        <v>11212</v>
      </c>
      <c r="Q45">
        <v>331110</v>
      </c>
      <c r="R45">
        <f>SUM(R42,R37,R32,R27,R22,R17,R13,R8)</f>
        <v>416586.88483673875</v>
      </c>
      <c r="U45" s="145" t="s">
        <v>784</v>
      </c>
      <c r="V45" s="145">
        <v>1266767.8</v>
      </c>
      <c r="W45" s="145">
        <v>334411</v>
      </c>
      <c r="AD45" s="5"/>
      <c r="AE45" s="5">
        <v>212112</v>
      </c>
      <c r="AF45" s="132" t="s">
        <v>866</v>
      </c>
      <c r="AG45" s="5"/>
      <c r="AH45" s="5"/>
    </row>
    <row r="46" spans="1:34">
      <c r="A46" s="5" t="s">
        <v>523</v>
      </c>
      <c r="B46" s="5">
        <v>10810.810810810801</v>
      </c>
      <c r="C46" s="5">
        <v>325992</v>
      </c>
      <c r="E46" s="5" t="s">
        <v>523</v>
      </c>
      <c r="F46" s="5">
        <v>31207.517419720501</v>
      </c>
      <c r="G46" s="5">
        <v>326199</v>
      </c>
      <c r="I46" s="5" t="s">
        <v>784</v>
      </c>
      <c r="J46" s="5">
        <v>3377559.8902495098</v>
      </c>
      <c r="K46" s="5">
        <v>112111</v>
      </c>
      <c r="Q46">
        <v>3312</v>
      </c>
      <c r="R46">
        <f>SUM(R4:R6,R9:R11,R14:R16,R18:R20,R23:R25,R28:R30,R33:R35,R38:R40)</f>
        <v>35368414.234077357</v>
      </c>
      <c r="U46" s="145" t="s">
        <v>784</v>
      </c>
      <c r="V46" s="145">
        <v>11304.6235</v>
      </c>
      <c r="W46" s="145">
        <v>334413</v>
      </c>
      <c r="AD46" s="5"/>
      <c r="AE46" s="5"/>
      <c r="AF46" s="5"/>
      <c r="AG46" s="5"/>
      <c r="AH46" s="5"/>
    </row>
    <row r="47" spans="1:34">
      <c r="A47" s="5" t="s">
        <v>820</v>
      </c>
      <c r="B47" s="5">
        <v>307797.39860694401</v>
      </c>
      <c r="C47" s="5">
        <v>325110</v>
      </c>
      <c r="E47" s="5" t="s">
        <v>523</v>
      </c>
      <c r="F47" s="5">
        <v>448.914604613817</v>
      </c>
      <c r="G47" s="5">
        <v>326211</v>
      </c>
      <c r="I47" s="5" t="s">
        <v>784</v>
      </c>
      <c r="J47" s="5">
        <v>291778.78765109001</v>
      </c>
      <c r="K47" s="5">
        <v>112112</v>
      </c>
      <c r="M47" s="1" t="s">
        <v>870</v>
      </c>
      <c r="U47" s="145" t="s">
        <v>822</v>
      </c>
      <c r="V47" s="145">
        <v>0</v>
      </c>
      <c r="W47" s="145">
        <v>334413</v>
      </c>
      <c r="AD47" s="5" t="s">
        <v>871</v>
      </c>
      <c r="AE47" s="5">
        <v>211111</v>
      </c>
      <c r="AF47" s="5" t="s">
        <v>873</v>
      </c>
      <c r="AG47" s="5"/>
      <c r="AH47" s="5"/>
    </row>
    <row r="48" spans="1:34">
      <c r="A48" s="5" t="s">
        <v>820</v>
      </c>
      <c r="B48" s="5">
        <v>5243.3343245118504</v>
      </c>
      <c r="C48" s="5">
        <v>325120</v>
      </c>
      <c r="E48" s="5" t="s">
        <v>523</v>
      </c>
      <c r="F48" s="5">
        <v>1496.56130403665</v>
      </c>
      <c r="G48" s="5">
        <v>326212</v>
      </c>
      <c r="I48" s="5" t="s">
        <v>822</v>
      </c>
      <c r="J48" s="5">
        <v>0</v>
      </c>
      <c r="K48" s="5">
        <v>1111</v>
      </c>
      <c r="M48" s="5" t="s">
        <v>592</v>
      </c>
      <c r="N48" s="5" t="s">
        <v>837</v>
      </c>
      <c r="O48" s="5" t="s">
        <v>818</v>
      </c>
      <c r="AD48" s="5"/>
      <c r="AE48" s="5">
        <v>211112</v>
      </c>
      <c r="AF48" s="5" t="s">
        <v>874</v>
      </c>
      <c r="AG48" s="5"/>
      <c r="AH48" s="5"/>
    </row>
    <row r="49" spans="1:34">
      <c r="A49" s="5" t="s">
        <v>820</v>
      </c>
      <c r="B49" s="5">
        <v>10580.1642690975</v>
      </c>
      <c r="C49" s="5">
        <v>325180</v>
      </c>
      <c r="E49" s="5" t="s">
        <v>523</v>
      </c>
      <c r="F49" s="5">
        <v>723.43729241397602</v>
      </c>
      <c r="G49" s="5">
        <v>326220</v>
      </c>
      <c r="I49" s="5" t="s">
        <v>822</v>
      </c>
      <c r="J49" s="5">
        <v>0</v>
      </c>
      <c r="K49" s="5">
        <v>1112</v>
      </c>
      <c r="M49" s="5">
        <v>324110</v>
      </c>
      <c r="N49" s="5" t="s">
        <v>134</v>
      </c>
      <c r="O49" s="5">
        <v>0</v>
      </c>
      <c r="AD49" s="5"/>
      <c r="AE49" s="5">
        <v>324110</v>
      </c>
      <c r="AF49" s="5" t="s">
        <v>875</v>
      </c>
      <c r="AG49" s="5" t="s">
        <v>983</v>
      </c>
      <c r="AH49" s="5"/>
    </row>
    <row r="50" spans="1:34">
      <c r="A50" s="5" t="s">
        <v>820</v>
      </c>
      <c r="B50" s="5">
        <v>3389.8305084745798</v>
      </c>
      <c r="C50" s="5">
        <v>325193</v>
      </c>
      <c r="E50" s="5" t="s">
        <v>523</v>
      </c>
      <c r="F50" s="5">
        <v>1131.2029900820501</v>
      </c>
      <c r="G50" s="5">
        <v>326291</v>
      </c>
      <c r="I50" s="5" t="s">
        <v>822</v>
      </c>
      <c r="J50" s="5">
        <v>0</v>
      </c>
      <c r="K50" s="5">
        <v>1113</v>
      </c>
      <c r="M50" s="5">
        <v>324121</v>
      </c>
      <c r="N50" s="5" t="s">
        <v>134</v>
      </c>
      <c r="O50" s="5">
        <v>0</v>
      </c>
      <c r="AD50" s="5"/>
      <c r="AE50" s="5">
        <v>324121</v>
      </c>
      <c r="AF50" s="5" t="s">
        <v>876</v>
      </c>
      <c r="AG50" s="5"/>
      <c r="AH50" s="5"/>
    </row>
    <row r="51" spans="1:34">
      <c r="A51" s="5" t="s">
        <v>820</v>
      </c>
      <c r="B51" s="5">
        <v>4716.2859248342002</v>
      </c>
      <c r="C51" s="5">
        <v>325194</v>
      </c>
      <c r="E51" s="5" t="s">
        <v>523</v>
      </c>
      <c r="F51" s="5">
        <v>2111.7790988860502</v>
      </c>
      <c r="G51" s="5">
        <v>326299</v>
      </c>
      <c r="I51" s="5" t="s">
        <v>822</v>
      </c>
      <c r="J51" s="5">
        <v>0</v>
      </c>
      <c r="K51" s="5">
        <v>1114</v>
      </c>
      <c r="M51" s="5">
        <v>324122</v>
      </c>
      <c r="N51" s="5" t="s">
        <v>134</v>
      </c>
      <c r="O51" s="5">
        <v>0</v>
      </c>
      <c r="AD51" s="5"/>
      <c r="AE51" s="5">
        <v>324122</v>
      </c>
      <c r="AF51" s="5" t="s">
        <v>877</v>
      </c>
      <c r="AG51" s="5"/>
      <c r="AH51" s="5"/>
    </row>
    <row r="52" spans="1:34">
      <c r="A52" s="5" t="s">
        <v>820</v>
      </c>
      <c r="B52" s="5">
        <v>17313.487623893499</v>
      </c>
      <c r="C52" s="5">
        <v>325199</v>
      </c>
      <c r="E52" s="5" t="s">
        <v>820</v>
      </c>
      <c r="F52" s="5">
        <v>28911.200012964</v>
      </c>
      <c r="G52" s="5">
        <v>326111</v>
      </c>
      <c r="I52" s="5" t="s">
        <v>822</v>
      </c>
      <c r="J52" s="5">
        <v>0</v>
      </c>
      <c r="K52" s="5">
        <v>1122</v>
      </c>
      <c r="AD52" s="5"/>
      <c r="AE52" s="146">
        <v>324199</v>
      </c>
      <c r="AF52" s="146" t="s">
        <v>985</v>
      </c>
      <c r="AG52" s="5" t="s">
        <v>884</v>
      </c>
      <c r="AH52" s="5"/>
    </row>
    <row r="53" spans="1:34">
      <c r="A53" s="5" t="s">
        <v>820</v>
      </c>
      <c r="B53" s="5">
        <v>155409.82326761799</v>
      </c>
      <c r="C53" s="5">
        <v>325211</v>
      </c>
      <c r="E53" s="5" t="s">
        <v>820</v>
      </c>
      <c r="F53" s="5">
        <v>13058.0676666408</v>
      </c>
      <c r="G53" s="5">
        <v>326112</v>
      </c>
      <c r="I53" s="5" t="s">
        <v>822</v>
      </c>
      <c r="J53" s="5">
        <v>0</v>
      </c>
      <c r="K53" s="5">
        <v>1123</v>
      </c>
      <c r="M53" s="5">
        <v>324110</v>
      </c>
      <c r="N53" s="5" t="s">
        <v>823</v>
      </c>
      <c r="O53" s="5">
        <v>0</v>
      </c>
      <c r="AD53" s="5"/>
      <c r="AE53" s="5"/>
      <c r="AF53" s="5"/>
      <c r="AG53" s="5" t="s">
        <v>986</v>
      </c>
      <c r="AH53" s="5"/>
    </row>
    <row r="54" spans="1:34">
      <c r="A54" s="5" t="s">
        <v>820</v>
      </c>
      <c r="B54" s="5">
        <v>12664.862555191599</v>
      </c>
      <c r="C54" s="5">
        <v>325212</v>
      </c>
      <c r="E54" s="5" t="s">
        <v>820</v>
      </c>
      <c r="F54" s="5">
        <v>26325.461644352501</v>
      </c>
      <c r="G54" s="5">
        <v>326113</v>
      </c>
      <c r="I54" s="5" t="s">
        <v>822</v>
      </c>
      <c r="J54" s="5">
        <v>0</v>
      </c>
      <c r="K54" s="5">
        <v>1124</v>
      </c>
      <c r="M54" s="5">
        <v>324121</v>
      </c>
      <c r="N54" s="5" t="s">
        <v>823</v>
      </c>
      <c r="O54" s="5">
        <v>0</v>
      </c>
      <c r="AD54" s="5" t="s">
        <v>880</v>
      </c>
      <c r="AE54" s="5"/>
      <c r="AF54" s="5"/>
      <c r="AG54" s="5"/>
      <c r="AH54" s="5"/>
    </row>
    <row r="55" spans="1:34">
      <c r="A55" s="5" t="s">
        <v>820</v>
      </c>
      <c r="B55" s="5">
        <v>2808.7167070218002</v>
      </c>
      <c r="C55" s="5">
        <v>325220</v>
      </c>
      <c r="E55" s="5" t="s">
        <v>820</v>
      </c>
      <c r="F55" s="5">
        <v>5806.8679653193904</v>
      </c>
      <c r="G55" s="5">
        <v>326121</v>
      </c>
      <c r="I55" s="5" t="s">
        <v>822</v>
      </c>
      <c r="J55" s="5">
        <v>0</v>
      </c>
      <c r="K55" s="5">
        <v>11192</v>
      </c>
      <c r="M55" s="5">
        <v>324122</v>
      </c>
      <c r="N55" s="5" t="s">
        <v>823</v>
      </c>
      <c r="O55" s="5">
        <v>0</v>
      </c>
      <c r="Q55">
        <v>324110</v>
      </c>
      <c r="R55">
        <f>SUM(O49:O56)*1000000</f>
        <v>0</v>
      </c>
      <c r="AD55" s="5"/>
      <c r="AE55" s="5"/>
      <c r="AF55" s="5"/>
      <c r="AG55" s="5"/>
      <c r="AH55" s="5"/>
    </row>
    <row r="56" spans="1:34">
      <c r="A56" s="5" t="s">
        <v>820</v>
      </c>
      <c r="B56" s="5">
        <v>0</v>
      </c>
      <c r="C56" s="5">
        <v>325311</v>
      </c>
      <c r="E56" s="5" t="s">
        <v>820</v>
      </c>
      <c r="F56" s="5">
        <v>16593.8133926177</v>
      </c>
      <c r="G56" s="5">
        <v>326122</v>
      </c>
      <c r="I56" s="5" t="s">
        <v>822</v>
      </c>
      <c r="J56" s="5">
        <v>0</v>
      </c>
      <c r="K56" s="5">
        <v>11212</v>
      </c>
      <c r="Q56">
        <v>324121</v>
      </c>
      <c r="R56">
        <f>SUM(O57:O64)*1000000</f>
        <v>2699091612776.3154</v>
      </c>
      <c r="AD56" s="5" t="s">
        <v>882</v>
      </c>
      <c r="AE56" s="5">
        <v>334413</v>
      </c>
      <c r="AF56" s="5" t="s">
        <v>881</v>
      </c>
      <c r="AG56" s="5"/>
      <c r="AH56" s="5"/>
    </row>
    <row r="57" spans="1:34">
      <c r="A57" s="5" t="s">
        <v>820</v>
      </c>
      <c r="B57" s="5">
        <v>13559.322033898299</v>
      </c>
      <c r="C57" s="5">
        <v>325312</v>
      </c>
      <c r="E57" s="5" t="s">
        <v>820</v>
      </c>
      <c r="F57" s="5">
        <v>1599.7493768197201</v>
      </c>
      <c r="G57" s="5">
        <v>326130</v>
      </c>
      <c r="I57" s="5" t="s">
        <v>822</v>
      </c>
      <c r="J57" s="5">
        <v>0</v>
      </c>
      <c r="K57" s="5">
        <v>112111</v>
      </c>
      <c r="M57" s="5">
        <v>324110</v>
      </c>
      <c r="N57" s="5" t="s">
        <v>523</v>
      </c>
      <c r="O57" s="5">
        <v>781725.72692221298</v>
      </c>
      <c r="Q57">
        <v>324122</v>
      </c>
      <c r="R57">
        <f>SUM(O65:O72)*1000000</f>
        <v>268562340884395.97</v>
      </c>
      <c r="AD57" s="5"/>
      <c r="AE57" s="5"/>
      <c r="AF57" s="5"/>
      <c r="AG57" s="5"/>
      <c r="AH57" s="5"/>
    </row>
    <row r="58" spans="1:34">
      <c r="A58" s="5" t="s">
        <v>820</v>
      </c>
      <c r="B58" s="5">
        <v>11702.717276117</v>
      </c>
      <c r="C58" s="5">
        <v>325412</v>
      </c>
      <c r="E58" s="5" t="s">
        <v>820</v>
      </c>
      <c r="F58" s="5">
        <v>18106.210742258299</v>
      </c>
      <c r="G58" s="5">
        <v>326140</v>
      </c>
      <c r="I58" s="5" t="s">
        <v>822</v>
      </c>
      <c r="J58" s="5">
        <v>0</v>
      </c>
      <c r="K58" s="5">
        <v>112112</v>
      </c>
      <c r="M58" s="5">
        <v>324121</v>
      </c>
      <c r="N58" s="5" t="s">
        <v>523</v>
      </c>
      <c r="O58" s="5">
        <v>358013.15023740701</v>
      </c>
      <c r="Q58">
        <v>324199</v>
      </c>
      <c r="R58">
        <f>SUM(O73:O80)*1000000</f>
        <v>632992127751478.38</v>
      </c>
    </row>
    <row r="59" spans="1:34">
      <c r="A59" s="5" t="s">
        <v>820</v>
      </c>
      <c r="B59" s="5">
        <v>9528.1722400366598</v>
      </c>
      <c r="C59" s="5">
        <v>325992</v>
      </c>
      <c r="E59" s="5" t="s">
        <v>820</v>
      </c>
      <c r="F59" s="5">
        <v>13678.930337588199</v>
      </c>
      <c r="G59" s="5">
        <v>326150</v>
      </c>
      <c r="M59" s="5">
        <v>324122</v>
      </c>
      <c r="N59" s="5" t="s">
        <v>523</v>
      </c>
      <c r="O59" s="5">
        <v>14979.3463949212</v>
      </c>
    </row>
    <row r="60" spans="1:34">
      <c r="A60" s="5" t="s">
        <v>821</v>
      </c>
      <c r="B60" s="5">
        <v>77591316.788718</v>
      </c>
      <c r="C60" s="5">
        <v>325110</v>
      </c>
      <c r="E60" s="5" t="s">
        <v>820</v>
      </c>
      <c r="F60" s="5">
        <v>13371.5577464214</v>
      </c>
      <c r="G60" s="5">
        <v>326160</v>
      </c>
      <c r="I60" t="s">
        <v>784</v>
      </c>
      <c r="J60">
        <f>SUM(J37:J47)/SUM(J4:J58)</f>
        <v>0.14331689177411824</v>
      </c>
      <c r="M60" s="5">
        <v>324199</v>
      </c>
      <c r="N60" s="5" t="s">
        <v>523</v>
      </c>
      <c r="O60" s="5">
        <v>17514.0806113652</v>
      </c>
      <c r="Q60" t="s">
        <v>1016</v>
      </c>
    </row>
    <row r="61" spans="1:34">
      <c r="A61" s="5" t="s">
        <v>821</v>
      </c>
      <c r="B61" s="5">
        <v>23093956.8329564</v>
      </c>
      <c r="C61" s="5">
        <v>325120</v>
      </c>
      <c r="E61" s="5" t="s">
        <v>820</v>
      </c>
      <c r="F61" s="5">
        <v>10819.0343738468</v>
      </c>
      <c r="G61" s="5">
        <v>326191</v>
      </c>
      <c r="M61" s="5">
        <v>324110</v>
      </c>
      <c r="N61" s="5" t="s">
        <v>820</v>
      </c>
      <c r="O61" s="5">
        <v>1497385.52170421</v>
      </c>
      <c r="Q61" t="s">
        <v>1017</v>
      </c>
    </row>
    <row r="62" spans="1:34">
      <c r="A62" s="5" t="s">
        <v>821</v>
      </c>
      <c r="B62" s="5">
        <v>7822919.86484164</v>
      </c>
      <c r="C62" s="5">
        <v>325180</v>
      </c>
      <c r="E62" s="5" t="s">
        <v>820</v>
      </c>
      <c r="F62" s="5">
        <v>113590.40815726201</v>
      </c>
      <c r="G62" s="5">
        <v>326199</v>
      </c>
      <c r="I62" s="104" t="s">
        <v>973</v>
      </c>
      <c r="J62" s="104"/>
      <c r="K62" s="104"/>
      <c r="M62" s="5">
        <v>324121</v>
      </c>
      <c r="N62" s="5" t="s">
        <v>820</v>
      </c>
      <c r="O62" s="5">
        <v>16477.408232274702</v>
      </c>
    </row>
    <row r="63" spans="1:34">
      <c r="A63" s="5" t="s">
        <v>821</v>
      </c>
      <c r="B63" s="5">
        <v>71169647.847300395</v>
      </c>
      <c r="C63" s="5">
        <v>325181</v>
      </c>
      <c r="E63" s="5" t="s">
        <v>820</v>
      </c>
      <c r="F63" s="5">
        <v>1598.7351675757</v>
      </c>
      <c r="G63" s="5">
        <v>326211</v>
      </c>
      <c r="I63" s="231" t="s">
        <v>971</v>
      </c>
      <c r="J63" s="104" t="s">
        <v>969</v>
      </c>
      <c r="K63" s="104"/>
      <c r="M63" s="5">
        <v>324122</v>
      </c>
      <c r="N63" s="5" t="s">
        <v>820</v>
      </c>
      <c r="O63" s="5">
        <v>12996.378673924</v>
      </c>
      <c r="Q63">
        <v>211111</v>
      </c>
      <c r="R63">
        <f>SUM(N33:N38)*1000000</f>
        <v>1119275319797285.5</v>
      </c>
    </row>
    <row r="64" spans="1:34">
      <c r="A64" s="5" t="s">
        <v>821</v>
      </c>
      <c r="B64" s="5">
        <v>1879199.15094765</v>
      </c>
      <c r="C64" s="5">
        <v>325182</v>
      </c>
      <c r="E64" s="5" t="s">
        <v>820</v>
      </c>
      <c r="F64" s="5">
        <v>3880.3105430619298</v>
      </c>
      <c r="G64" s="5">
        <v>326212</v>
      </c>
      <c r="I64" s="104" t="s">
        <v>795</v>
      </c>
      <c r="J64" s="104" t="s">
        <v>972</v>
      </c>
      <c r="K64" s="104"/>
      <c r="Q64">
        <v>211112</v>
      </c>
      <c r="R64">
        <f>SUM(O39:O44)*1000000</f>
        <v>1266669000000</v>
      </c>
    </row>
    <row r="65" spans="1:17">
      <c r="A65" s="5" t="s">
        <v>821</v>
      </c>
      <c r="B65" s="5">
        <v>2009947.2295514499</v>
      </c>
      <c r="C65" s="5">
        <v>325188</v>
      </c>
      <c r="E65" s="5" t="s">
        <v>820</v>
      </c>
      <c r="F65" s="5">
        <v>1983.4316798508501</v>
      </c>
      <c r="G65" s="5">
        <v>326220</v>
      </c>
      <c r="I65" s="104">
        <v>2017</v>
      </c>
      <c r="J65" s="104">
        <f>10942*3412000</f>
        <v>37334104000</v>
      </c>
      <c r="K65" s="104"/>
      <c r="M65" s="5">
        <v>324110</v>
      </c>
      <c r="N65" s="5" t="s">
        <v>821</v>
      </c>
      <c r="O65" s="5">
        <v>230702489.049519</v>
      </c>
    </row>
    <row r="66" spans="1:17">
      <c r="A66" s="5" t="s">
        <v>821</v>
      </c>
      <c r="B66" s="5">
        <v>12616886.2031557</v>
      </c>
      <c r="C66" s="5">
        <v>325192</v>
      </c>
      <c r="E66" s="5" t="s">
        <v>820</v>
      </c>
      <c r="F66" s="5">
        <v>3425.4218075362501</v>
      </c>
      <c r="G66" s="5">
        <v>326291</v>
      </c>
      <c r="I66" s="104">
        <v>2018</v>
      </c>
      <c r="J66" s="104">
        <f>10038*3412000</f>
        <v>34249656000</v>
      </c>
      <c r="K66" s="104"/>
      <c r="M66" s="5">
        <v>324121</v>
      </c>
      <c r="N66" s="5" t="s">
        <v>821</v>
      </c>
      <c r="O66" s="5">
        <v>1949652.5511966101</v>
      </c>
      <c r="Q66" t="s">
        <v>1018</v>
      </c>
    </row>
    <row r="67" spans="1:17">
      <c r="A67" s="5" t="s">
        <v>821</v>
      </c>
      <c r="B67" s="5">
        <v>6902253.1292841602</v>
      </c>
      <c r="C67" s="5">
        <v>325193</v>
      </c>
      <c r="E67" s="5" t="s">
        <v>820</v>
      </c>
      <c r="F67" s="5">
        <v>6057.3662988927899</v>
      </c>
      <c r="G67" s="5">
        <v>326299</v>
      </c>
      <c r="I67" s="104">
        <v>2019</v>
      </c>
      <c r="J67" s="104">
        <f>12000*3412000</f>
        <v>40944000000</v>
      </c>
      <c r="K67" s="104"/>
      <c r="M67" s="5">
        <v>324122</v>
      </c>
      <c r="N67" s="5" t="s">
        <v>821</v>
      </c>
      <c r="O67" s="5">
        <v>405474.55342258798</v>
      </c>
    </row>
    <row r="68" spans="1:17">
      <c r="A68" s="5" t="s">
        <v>821</v>
      </c>
      <c r="B68" s="5">
        <v>250202.75100719699</v>
      </c>
      <c r="C68" s="5">
        <v>325194</v>
      </c>
      <c r="E68" s="5" t="s">
        <v>821</v>
      </c>
      <c r="F68" s="5">
        <v>927004.997689093</v>
      </c>
      <c r="G68" s="5">
        <v>326111</v>
      </c>
      <c r="I68" s="104"/>
      <c r="J68" s="104"/>
      <c r="K68" s="104"/>
    </row>
    <row r="69" spans="1:17">
      <c r="A69" s="5" t="s">
        <v>821</v>
      </c>
      <c r="B69" s="5">
        <v>216363853.10249501</v>
      </c>
      <c r="C69" s="5">
        <v>325199</v>
      </c>
      <c r="E69" s="5" t="s">
        <v>821</v>
      </c>
      <c r="F69" s="5">
        <v>178364.70288954501</v>
      </c>
      <c r="G69" s="5">
        <v>326112</v>
      </c>
      <c r="I69" t="s">
        <v>1024</v>
      </c>
      <c r="M69" s="5">
        <v>324110</v>
      </c>
      <c r="N69" s="5" t="s">
        <v>819</v>
      </c>
      <c r="O69" s="5">
        <v>35231789.852566503</v>
      </c>
    </row>
    <row r="70" spans="1:17">
      <c r="A70" s="5" t="s">
        <v>821</v>
      </c>
      <c r="B70" s="5">
        <v>125996294.369945</v>
      </c>
      <c r="C70" s="5">
        <v>325211</v>
      </c>
      <c r="E70" s="5" t="s">
        <v>821</v>
      </c>
      <c r="F70" s="5">
        <v>1323629.38722223</v>
      </c>
      <c r="G70" s="5">
        <v>326113</v>
      </c>
      <c r="I70" t="s">
        <v>1025</v>
      </c>
      <c r="M70" s="5">
        <v>324121</v>
      </c>
      <c r="N70" s="5" t="s">
        <v>819</v>
      </c>
      <c r="O70" s="5">
        <v>155629.13988420399</v>
      </c>
    </row>
    <row r="71" spans="1:17">
      <c r="A71" s="5" t="s">
        <v>821</v>
      </c>
      <c r="B71" s="5">
        <v>11386213.5442247</v>
      </c>
      <c r="C71" s="5">
        <v>325212</v>
      </c>
      <c r="E71" s="5" t="s">
        <v>821</v>
      </c>
      <c r="F71" s="5">
        <v>70481.496073802598</v>
      </c>
      <c r="G71" s="5">
        <v>326121</v>
      </c>
      <c r="M71" s="5">
        <v>324122</v>
      </c>
      <c r="N71" s="5" t="s">
        <v>819</v>
      </c>
      <c r="O71" s="5">
        <v>117305.73780704</v>
      </c>
    </row>
    <row r="72" spans="1:17">
      <c r="A72" s="5" t="s">
        <v>821</v>
      </c>
      <c r="B72" s="5">
        <v>188942.098389197</v>
      </c>
      <c r="C72" s="5">
        <v>325220</v>
      </c>
      <c r="E72" s="5" t="s">
        <v>821</v>
      </c>
      <c r="F72" s="5">
        <v>211098.62193219201</v>
      </c>
      <c r="G72" s="5">
        <v>326122</v>
      </c>
    </row>
    <row r="73" spans="1:17">
      <c r="A73" s="5" t="s">
        <v>821</v>
      </c>
      <c r="B73" s="5">
        <v>11287972.7241563</v>
      </c>
      <c r="C73" s="5">
        <v>325311</v>
      </c>
      <c r="E73" s="5" t="s">
        <v>821</v>
      </c>
      <c r="F73" s="5">
        <v>539473.10069431202</v>
      </c>
      <c r="G73" s="5">
        <v>326130</v>
      </c>
      <c r="M73" s="5">
        <v>324110</v>
      </c>
      <c r="N73" s="5" t="s">
        <v>784</v>
      </c>
      <c r="O73" s="5">
        <v>632782436.27866197</v>
      </c>
    </row>
    <row r="74" spans="1:17">
      <c r="A74" s="5" t="s">
        <v>821</v>
      </c>
      <c r="B74" s="5">
        <v>1996584.1733363401</v>
      </c>
      <c r="C74" s="5">
        <v>325312</v>
      </c>
      <c r="E74" s="5" t="s">
        <v>821</v>
      </c>
      <c r="F74" s="5">
        <v>1167064.1409822199</v>
      </c>
      <c r="G74" s="5">
        <v>326140</v>
      </c>
      <c r="M74" s="5">
        <v>324121</v>
      </c>
      <c r="N74" s="5" t="s">
        <v>784</v>
      </c>
      <c r="O74" s="5">
        <v>182312.09172870699</v>
      </c>
    </row>
    <row r="75" spans="1:17">
      <c r="A75" s="5" t="s">
        <v>821</v>
      </c>
      <c r="B75" s="5">
        <v>1354707.0345023801</v>
      </c>
      <c r="C75" s="5">
        <v>325320</v>
      </c>
      <c r="E75" s="5" t="s">
        <v>821</v>
      </c>
      <c r="F75" s="5">
        <v>171600.050294947</v>
      </c>
      <c r="G75" s="5">
        <v>326150</v>
      </c>
      <c r="M75" s="5">
        <v>324122</v>
      </c>
      <c r="N75" s="5" t="s">
        <v>784</v>
      </c>
      <c r="O75" s="5">
        <v>3297.3117531390599</v>
      </c>
    </row>
    <row r="76" spans="1:17">
      <c r="A76" s="5" t="s">
        <v>821</v>
      </c>
      <c r="B76" s="5">
        <v>1039763.11558866</v>
      </c>
      <c r="C76" s="5">
        <v>325411</v>
      </c>
      <c r="E76" s="5" t="s">
        <v>821</v>
      </c>
      <c r="F76" s="5">
        <v>185397.21837457101</v>
      </c>
      <c r="G76" s="5">
        <v>326160</v>
      </c>
    </row>
    <row r="77" spans="1:17">
      <c r="A77" s="5" t="s">
        <v>821</v>
      </c>
      <c r="B77" s="5">
        <v>1241317.7429710501</v>
      </c>
      <c r="C77" s="5">
        <v>325412</v>
      </c>
      <c r="E77" s="5" t="s">
        <v>821</v>
      </c>
      <c r="F77" s="5">
        <v>141615.04618967301</v>
      </c>
      <c r="G77" s="5">
        <v>326191</v>
      </c>
      <c r="M77" s="5">
        <v>324110</v>
      </c>
      <c r="N77" s="5" t="s">
        <v>822</v>
      </c>
      <c r="O77" s="5">
        <v>6281.15072261152</v>
      </c>
    </row>
    <row r="78" spans="1:17">
      <c r="A78" s="5" t="s">
        <v>821</v>
      </c>
      <c r="B78" s="5">
        <v>766915.51330397697</v>
      </c>
      <c r="C78" s="5">
        <v>325611</v>
      </c>
      <c r="E78" s="5" t="s">
        <v>821</v>
      </c>
      <c r="F78" s="5">
        <v>2150461.1700380901</v>
      </c>
      <c r="G78" s="5">
        <v>326199</v>
      </c>
      <c r="M78" s="5">
        <v>324121</v>
      </c>
      <c r="N78" s="5" t="s">
        <v>822</v>
      </c>
      <c r="O78" s="5">
        <v>17800.918611898</v>
      </c>
    </row>
    <row r="79" spans="1:17">
      <c r="A79" s="5" t="s">
        <v>821</v>
      </c>
      <c r="B79" s="5">
        <v>57527.806765941903</v>
      </c>
      <c r="C79" s="5">
        <v>325992</v>
      </c>
      <c r="E79" s="5" t="s">
        <v>821</v>
      </c>
      <c r="F79" s="5">
        <v>18464.429904761</v>
      </c>
      <c r="G79" s="5">
        <v>326211</v>
      </c>
      <c r="M79" s="5">
        <v>324122</v>
      </c>
      <c r="N79" s="5" t="s">
        <v>822</v>
      </c>
      <c r="O79" s="5">
        <v>0</v>
      </c>
    </row>
    <row r="80" spans="1:17">
      <c r="A80" s="5" t="s">
        <v>821</v>
      </c>
      <c r="B80" s="5">
        <v>874828.49604221596</v>
      </c>
      <c r="C80" s="5">
        <v>325998</v>
      </c>
      <c r="E80" s="5" t="s">
        <v>821</v>
      </c>
      <c r="F80" s="5">
        <v>36992.7741561</v>
      </c>
      <c r="G80" s="5">
        <v>326212</v>
      </c>
    </row>
    <row r="81" spans="1:16">
      <c r="A81" s="5" t="s">
        <v>819</v>
      </c>
      <c r="B81" s="5">
        <v>9629926.4558026195</v>
      </c>
      <c r="C81" s="5">
        <v>325110</v>
      </c>
      <c r="E81" s="5" t="s">
        <v>821</v>
      </c>
      <c r="F81" s="5">
        <v>23259.185997085398</v>
      </c>
      <c r="G81" s="5">
        <v>326220</v>
      </c>
      <c r="M81" t="s">
        <v>1019</v>
      </c>
    </row>
    <row r="82" spans="1:16">
      <c r="A82" s="5" t="s">
        <v>819</v>
      </c>
      <c r="B82" s="5">
        <v>1030162.78201881</v>
      </c>
      <c r="C82" s="5">
        <v>325120</v>
      </c>
      <c r="E82" s="5" t="s">
        <v>821</v>
      </c>
      <c r="F82" s="5">
        <v>38207.358159333402</v>
      </c>
      <c r="G82" s="5">
        <v>326291</v>
      </c>
      <c r="M82" t="s">
        <v>1020</v>
      </c>
    </row>
    <row r="83" spans="1:16">
      <c r="A83" s="5" t="s">
        <v>819</v>
      </c>
      <c r="B83" s="5">
        <v>5678437.4979161499</v>
      </c>
      <c r="C83" s="5">
        <v>325180</v>
      </c>
      <c r="E83" s="5" t="s">
        <v>821</v>
      </c>
      <c r="F83" s="5">
        <v>66913.863914796006</v>
      </c>
      <c r="G83" s="5">
        <v>326299</v>
      </c>
    </row>
    <row r="84" spans="1:16">
      <c r="A84" s="5" t="s">
        <v>819</v>
      </c>
      <c r="B84" s="5">
        <v>-1149328.7259410501</v>
      </c>
      <c r="C84" s="5">
        <v>325181</v>
      </c>
      <c r="E84" s="5" t="s">
        <v>819</v>
      </c>
      <c r="F84" s="5">
        <v>1499378.8574572599</v>
      </c>
      <c r="G84" s="5">
        <v>326111</v>
      </c>
    </row>
    <row r="85" spans="1:16">
      <c r="A85" s="5" t="s">
        <v>819</v>
      </c>
      <c r="B85" s="5">
        <v>-295024.00175469002</v>
      </c>
      <c r="C85" s="5">
        <v>325182</v>
      </c>
      <c r="E85" s="5" t="s">
        <v>819</v>
      </c>
      <c r="F85" s="5">
        <v>494465.74460832099</v>
      </c>
      <c r="G85" s="5">
        <v>326112</v>
      </c>
      <c r="N85">
        <v>324121</v>
      </c>
      <c r="O85">
        <f>SUM(O50,O5,O54,O58,O62,O66,O70,O74,O78)</f>
        <v>3007195.2598911007</v>
      </c>
      <c r="P85" t="s">
        <v>1023</v>
      </c>
    </row>
    <row r="86" spans="1:16">
      <c r="A86" s="5" t="s">
        <v>819</v>
      </c>
      <c r="B86" s="5">
        <v>46292.214090468697</v>
      </c>
      <c r="C86" s="5">
        <v>325193</v>
      </c>
      <c r="E86" s="5" t="s">
        <v>819</v>
      </c>
      <c r="F86" s="5">
        <v>1631151.6714834501</v>
      </c>
      <c r="G86" s="5">
        <v>326113</v>
      </c>
      <c r="N86" s="5">
        <v>324122</v>
      </c>
      <c r="O86">
        <f>SUM(O51,O55,O59,O63,O67,O71,O75,O79)</f>
        <v>554053.32805161225</v>
      </c>
      <c r="P86" t="s">
        <v>1023</v>
      </c>
    </row>
    <row r="87" spans="1:16">
      <c r="A87" s="5" t="s">
        <v>819</v>
      </c>
      <c r="B87" s="5">
        <v>2262019.6823376501</v>
      </c>
      <c r="C87" s="5">
        <v>325194</v>
      </c>
      <c r="E87" s="5" t="s">
        <v>819</v>
      </c>
      <c r="F87" s="5">
        <v>215777.107598228</v>
      </c>
      <c r="G87" s="5">
        <v>326121</v>
      </c>
    </row>
    <row r="88" spans="1:16">
      <c r="A88" s="5" t="s">
        <v>819</v>
      </c>
      <c r="B88" s="5">
        <v>7340235.7516236799</v>
      </c>
      <c r="C88" s="5">
        <v>325199</v>
      </c>
      <c r="E88" s="5" t="s">
        <v>819</v>
      </c>
      <c r="F88" s="5">
        <v>645614.11175557098</v>
      </c>
      <c r="G88" s="5">
        <v>326122</v>
      </c>
    </row>
    <row r="89" spans="1:16">
      <c r="A89" s="5" t="s">
        <v>819</v>
      </c>
      <c r="B89" s="5">
        <v>14262110.8516459</v>
      </c>
      <c r="C89" s="5">
        <v>325211</v>
      </c>
      <c r="E89" s="5" t="s">
        <v>819</v>
      </c>
      <c r="F89" s="5">
        <v>500496.82455465698</v>
      </c>
      <c r="G89" s="5">
        <v>326130</v>
      </c>
    </row>
    <row r="90" spans="1:16">
      <c r="A90" s="5" t="s">
        <v>819</v>
      </c>
      <c r="B90" s="5">
        <v>624492.52692876698</v>
      </c>
      <c r="C90" s="5">
        <v>325212</v>
      </c>
      <c r="E90" s="5" t="s">
        <v>819</v>
      </c>
      <c r="F90" s="5">
        <v>1282103.4801377801</v>
      </c>
      <c r="G90" s="5">
        <v>326140</v>
      </c>
    </row>
    <row r="91" spans="1:16">
      <c r="A91" s="5" t="s">
        <v>819</v>
      </c>
      <c r="B91" s="5">
        <v>248302.61881667899</v>
      </c>
      <c r="C91" s="5">
        <v>325220</v>
      </c>
      <c r="E91" s="5" t="s">
        <v>819</v>
      </c>
      <c r="F91" s="5">
        <v>496097.46282938297</v>
      </c>
      <c r="G91" s="5">
        <v>326150</v>
      </c>
    </row>
    <row r="92" spans="1:16">
      <c r="A92" s="5" t="s">
        <v>819</v>
      </c>
      <c r="B92" s="5">
        <v>451207.376522601</v>
      </c>
      <c r="C92" s="5">
        <v>325311</v>
      </c>
      <c r="E92" s="5" t="s">
        <v>819</v>
      </c>
      <c r="F92" s="5">
        <v>517162.45106695598</v>
      </c>
      <c r="G92" s="5">
        <v>326160</v>
      </c>
    </row>
    <row r="93" spans="1:16">
      <c r="A93" s="5" t="s">
        <v>819</v>
      </c>
      <c r="B93" s="5">
        <v>761837.58046029496</v>
      </c>
      <c r="C93" s="5">
        <v>325312</v>
      </c>
      <c r="E93" s="5" t="s">
        <v>819</v>
      </c>
      <c r="F93" s="5">
        <v>393639.63021410099</v>
      </c>
      <c r="G93" s="5">
        <v>326191</v>
      </c>
    </row>
    <row r="94" spans="1:16">
      <c r="A94" s="5" t="s">
        <v>819</v>
      </c>
      <c r="B94" s="5">
        <v>830382.54082290805</v>
      </c>
      <c r="C94" s="5">
        <v>325412</v>
      </c>
      <c r="E94" s="5" t="s">
        <v>819</v>
      </c>
      <c r="F94" s="5">
        <v>4750047.6756086498</v>
      </c>
      <c r="G94" s="5">
        <v>326199</v>
      </c>
      <c r="J94" t="s">
        <v>1021</v>
      </c>
    </row>
    <row r="95" spans="1:16">
      <c r="A95" s="5" t="s">
        <v>819</v>
      </c>
      <c r="B95" s="5">
        <v>196730.43781927999</v>
      </c>
      <c r="C95" s="5">
        <v>325611</v>
      </c>
      <c r="E95" s="5" t="s">
        <v>819</v>
      </c>
      <c r="F95" s="5">
        <v>55610.3672579989</v>
      </c>
      <c r="G95" s="5">
        <v>326211</v>
      </c>
    </row>
    <row r="96" spans="1:16">
      <c r="A96" s="5" t="s">
        <v>819</v>
      </c>
      <c r="B96" s="5">
        <v>82432.313276154193</v>
      </c>
      <c r="C96" s="5">
        <v>325992</v>
      </c>
      <c r="E96" s="5" t="s">
        <v>819</v>
      </c>
      <c r="F96" s="5">
        <v>121042.950958071</v>
      </c>
      <c r="G96" s="5">
        <v>326212</v>
      </c>
      <c r="J96" s="220" t="s">
        <v>784</v>
      </c>
      <c r="K96" s="221">
        <v>206582526.331388</v>
      </c>
      <c r="L96" s="222">
        <v>325110</v>
      </c>
      <c r="M96" t="s">
        <v>1022</v>
      </c>
    </row>
    <row r="97" spans="1:12">
      <c r="A97" s="210" t="s">
        <v>784</v>
      </c>
      <c r="B97" s="211">
        <v>206582526.331388</v>
      </c>
      <c r="C97" s="212">
        <v>325110</v>
      </c>
      <c r="E97" s="5" t="s">
        <v>819</v>
      </c>
      <c r="F97" s="5">
        <v>75767.708869532304</v>
      </c>
      <c r="G97" s="5">
        <v>326220</v>
      </c>
      <c r="J97" s="223" t="s">
        <v>784</v>
      </c>
      <c r="K97" s="224">
        <v>34366165.992458902</v>
      </c>
      <c r="L97" s="225">
        <v>325120</v>
      </c>
    </row>
    <row r="98" spans="1:12">
      <c r="A98" s="213" t="s">
        <v>784</v>
      </c>
      <c r="B98" s="177">
        <v>34366165.992458902</v>
      </c>
      <c r="C98" s="214">
        <v>325120</v>
      </c>
      <c r="E98" s="5" t="s">
        <v>819</v>
      </c>
      <c r="F98" s="5">
        <v>120029.722898213</v>
      </c>
      <c r="G98" s="5">
        <v>326291</v>
      </c>
      <c r="J98" s="223" t="s">
        <v>784</v>
      </c>
      <c r="K98" s="224">
        <v>1573732.8688721401</v>
      </c>
      <c r="L98" s="225">
        <v>325180</v>
      </c>
    </row>
    <row r="99" spans="1:12">
      <c r="A99" s="213" t="s">
        <v>784</v>
      </c>
      <c r="B99" s="177">
        <v>1573732.8688721401</v>
      </c>
      <c r="C99" s="214">
        <v>325180</v>
      </c>
      <c r="E99" s="5" t="s">
        <v>819</v>
      </c>
      <c r="F99" s="5">
        <v>213678.56713127901</v>
      </c>
      <c r="G99" s="5">
        <v>326299</v>
      </c>
      <c r="J99" s="223" t="s">
        <v>784</v>
      </c>
      <c r="K99" s="224">
        <v>1482050.8474576301</v>
      </c>
      <c r="L99" s="225">
        <v>325181</v>
      </c>
    </row>
    <row r="100" spans="1:12">
      <c r="A100" s="213" t="s">
        <v>784</v>
      </c>
      <c r="B100" s="177">
        <v>1482050.8474576301</v>
      </c>
      <c r="C100" s="214">
        <v>325181</v>
      </c>
      <c r="E100" s="210" t="s">
        <v>784</v>
      </c>
      <c r="F100" s="211">
        <v>62590.395708973301</v>
      </c>
      <c r="G100" s="212">
        <v>326111</v>
      </c>
      <c r="J100" s="223" t="s">
        <v>784</v>
      </c>
      <c r="K100" s="224">
        <v>965.53688407861</v>
      </c>
      <c r="L100" s="225">
        <v>325188</v>
      </c>
    </row>
    <row r="101" spans="1:12">
      <c r="A101" s="213" t="s">
        <v>784</v>
      </c>
      <c r="B101" s="177">
        <v>965.53688407861</v>
      </c>
      <c r="C101" s="214">
        <v>325188</v>
      </c>
      <c r="E101" s="213" t="s">
        <v>784</v>
      </c>
      <c r="F101" s="177">
        <v>7801.63766787846</v>
      </c>
      <c r="G101" s="214">
        <v>326112</v>
      </c>
      <c r="J101" s="213" t="s">
        <v>784</v>
      </c>
      <c r="K101" s="177">
        <v>1272593.8298895699</v>
      </c>
      <c r="L101" s="214">
        <v>325192</v>
      </c>
    </row>
    <row r="102" spans="1:12">
      <c r="A102" s="213" t="s">
        <v>784</v>
      </c>
      <c r="B102" s="177">
        <v>1272593.8298895699</v>
      </c>
      <c r="C102" s="214">
        <v>325192</v>
      </c>
      <c r="E102" s="213" t="s">
        <v>784</v>
      </c>
      <c r="F102" s="177">
        <v>39804.379184354002</v>
      </c>
      <c r="G102" s="214">
        <v>326113</v>
      </c>
      <c r="J102" s="213" t="s">
        <v>784</v>
      </c>
      <c r="K102" s="177">
        <v>436.381771709948</v>
      </c>
      <c r="L102" s="214">
        <v>325193</v>
      </c>
    </row>
    <row r="103" spans="1:12">
      <c r="A103" s="213" t="s">
        <v>784</v>
      </c>
      <c r="B103" s="177">
        <v>436.381771709948</v>
      </c>
      <c r="C103" s="214">
        <v>325193</v>
      </c>
      <c r="E103" s="213" t="s">
        <v>784</v>
      </c>
      <c r="F103" s="177">
        <v>1838.33698498391</v>
      </c>
      <c r="G103" s="214">
        <v>326121</v>
      </c>
      <c r="J103" s="213" t="s">
        <v>784</v>
      </c>
      <c r="K103" s="177">
        <v>42499.789940451599</v>
      </c>
      <c r="L103" s="214">
        <v>325194</v>
      </c>
    </row>
    <row r="104" spans="1:12">
      <c r="A104" s="213" t="s">
        <v>784</v>
      </c>
      <c r="B104" s="177">
        <v>42499.789940451599</v>
      </c>
      <c r="C104" s="214">
        <v>325194</v>
      </c>
      <c r="E104" s="213" t="s">
        <v>784</v>
      </c>
      <c r="F104" s="177">
        <v>5672.2035010973996</v>
      </c>
      <c r="G104" s="214">
        <v>326122</v>
      </c>
      <c r="J104" s="213" t="s">
        <v>784</v>
      </c>
      <c r="K104" s="177">
        <v>55763790.117479198</v>
      </c>
      <c r="L104" s="214">
        <v>325199</v>
      </c>
    </row>
    <row r="105" spans="1:12">
      <c r="A105" s="213" t="s">
        <v>784</v>
      </c>
      <c r="B105" s="177">
        <v>55763790.117479198</v>
      </c>
      <c r="C105" s="214">
        <v>325199</v>
      </c>
      <c r="E105" s="213" t="s">
        <v>784</v>
      </c>
      <c r="F105" s="177">
        <v>22378.612983899799</v>
      </c>
      <c r="G105" s="214">
        <v>326130</v>
      </c>
      <c r="J105" s="213" t="s">
        <v>784</v>
      </c>
      <c r="K105" s="177">
        <v>111804868.88495199</v>
      </c>
      <c r="L105" s="214">
        <v>325211</v>
      </c>
    </row>
    <row r="106" spans="1:12">
      <c r="A106" s="213" t="s">
        <v>784</v>
      </c>
      <c r="B106" s="177">
        <v>111804868.88495199</v>
      </c>
      <c r="C106" s="214">
        <v>325211</v>
      </c>
      <c r="E106" s="213" t="s">
        <v>784</v>
      </c>
      <c r="F106" s="177">
        <v>31025.746811578301</v>
      </c>
      <c r="G106" s="214">
        <v>326140</v>
      </c>
      <c r="J106" s="213" t="s">
        <v>784</v>
      </c>
      <c r="K106" s="177">
        <v>671022.10250102496</v>
      </c>
      <c r="L106" s="214">
        <v>325212</v>
      </c>
    </row>
    <row r="107" spans="1:12">
      <c r="A107" s="213" t="s">
        <v>784</v>
      </c>
      <c r="B107" s="177">
        <v>671022.10250102496</v>
      </c>
      <c r="C107" s="214">
        <v>325212</v>
      </c>
      <c r="E107" s="213" t="s">
        <v>784</v>
      </c>
      <c r="F107" s="177">
        <v>7373.4059866760799</v>
      </c>
      <c r="G107" s="214">
        <v>326150</v>
      </c>
      <c r="J107" s="213" t="s">
        <v>784</v>
      </c>
      <c r="K107" s="177">
        <v>506.291912688011</v>
      </c>
      <c r="L107" s="214">
        <v>325220</v>
      </c>
    </row>
    <row r="108" spans="1:12">
      <c r="A108" s="213" t="s">
        <v>784</v>
      </c>
      <c r="B108" s="177">
        <v>506.291912688011</v>
      </c>
      <c r="C108" s="214">
        <v>325220</v>
      </c>
      <c r="E108" s="213" t="s">
        <v>784</v>
      </c>
      <c r="F108" s="177">
        <v>8040.0083067224496</v>
      </c>
      <c r="G108" s="214">
        <v>326160</v>
      </c>
      <c r="J108" s="213" t="s">
        <v>784</v>
      </c>
      <c r="K108" s="177">
        <v>33841.851683629</v>
      </c>
      <c r="L108" s="214">
        <v>325311</v>
      </c>
    </row>
    <row r="109" spans="1:12">
      <c r="A109" s="213" t="s">
        <v>784</v>
      </c>
      <c r="B109" s="177">
        <v>33841.851683629</v>
      </c>
      <c r="C109" s="214">
        <v>325311</v>
      </c>
      <c r="E109" s="213" t="s">
        <v>784</v>
      </c>
      <c r="F109" s="177">
        <v>6675.5484791144199</v>
      </c>
      <c r="G109" s="214">
        <v>326191</v>
      </c>
      <c r="J109" s="213" t="s">
        <v>784</v>
      </c>
      <c r="K109" s="177">
        <v>3865.09569228905</v>
      </c>
      <c r="L109" s="214">
        <v>325312</v>
      </c>
    </row>
    <row r="110" spans="1:12">
      <c r="A110" s="213" t="s">
        <v>784</v>
      </c>
      <c r="B110" s="177">
        <v>3865.09569228905</v>
      </c>
      <c r="C110" s="214">
        <v>325312</v>
      </c>
      <c r="E110" s="213" t="s">
        <v>784</v>
      </c>
      <c r="F110" s="177">
        <v>123829.843440397</v>
      </c>
      <c r="G110" s="214">
        <v>326199</v>
      </c>
      <c r="J110" s="213" t="s">
        <v>784</v>
      </c>
      <c r="K110" s="177">
        <v>126527.16634878</v>
      </c>
      <c r="L110" s="214">
        <v>325412</v>
      </c>
    </row>
    <row r="111" spans="1:12">
      <c r="A111" s="213" t="s">
        <v>784</v>
      </c>
      <c r="B111" s="177">
        <v>126527.16634878</v>
      </c>
      <c r="C111" s="214">
        <v>325412</v>
      </c>
      <c r="E111" s="213" t="s">
        <v>784</v>
      </c>
      <c r="F111" s="177">
        <v>465.76542388926202</v>
      </c>
      <c r="G111" s="214">
        <v>326211</v>
      </c>
      <c r="J111" s="213" t="s">
        <v>784</v>
      </c>
      <c r="K111" s="177">
        <v>2286.3709042877199</v>
      </c>
      <c r="L111" s="214">
        <v>325992</v>
      </c>
    </row>
    <row r="112" spans="1:12">
      <c r="A112" s="213" t="s">
        <v>784</v>
      </c>
      <c r="B112" s="177">
        <v>2286.3709042877199</v>
      </c>
      <c r="C112" s="214">
        <v>325992</v>
      </c>
      <c r="E112" s="213" t="s">
        <v>784</v>
      </c>
      <c r="F112" s="177">
        <v>789.37002217489703</v>
      </c>
      <c r="G112" s="214">
        <v>326212</v>
      </c>
      <c r="J112" s="215" t="s">
        <v>784</v>
      </c>
      <c r="K112" s="216">
        <v>213572.88135593201</v>
      </c>
      <c r="L112" s="217">
        <v>325998</v>
      </c>
    </row>
    <row r="113" spans="1:12">
      <c r="A113" s="215" t="s">
        <v>784</v>
      </c>
      <c r="B113" s="216">
        <v>213572.88135593201</v>
      </c>
      <c r="C113" s="217">
        <v>325998</v>
      </c>
      <c r="E113" s="213" t="s">
        <v>784</v>
      </c>
      <c r="F113" s="177">
        <v>591.31327240637302</v>
      </c>
      <c r="G113" s="214">
        <v>326220</v>
      </c>
      <c r="J113" s="210" t="s">
        <v>784</v>
      </c>
      <c r="K113" s="211">
        <v>62590.395708973301</v>
      </c>
      <c r="L113" s="212">
        <v>326111</v>
      </c>
    </row>
    <row r="114" spans="1:12">
      <c r="A114" s="5" t="s">
        <v>822</v>
      </c>
      <c r="B114" s="5">
        <v>0</v>
      </c>
      <c r="C114" s="5">
        <v>325110</v>
      </c>
      <c r="E114" s="213" t="s">
        <v>784</v>
      </c>
      <c r="F114" s="177">
        <v>937.89337687363798</v>
      </c>
      <c r="G114" s="214">
        <v>326291</v>
      </c>
      <c r="J114" s="213" t="s">
        <v>784</v>
      </c>
      <c r="K114" s="177">
        <v>7801.63766787846</v>
      </c>
      <c r="L114" s="214">
        <v>326112</v>
      </c>
    </row>
    <row r="115" spans="1:12">
      <c r="A115" s="5" t="s">
        <v>822</v>
      </c>
      <c r="B115" s="5">
        <v>0</v>
      </c>
      <c r="C115" s="5">
        <v>325120</v>
      </c>
      <c r="E115" s="215" t="s">
        <v>784</v>
      </c>
      <c r="F115" s="216">
        <v>1629.3883553401799</v>
      </c>
      <c r="G115" s="217">
        <v>326299</v>
      </c>
      <c r="J115" s="213" t="s">
        <v>784</v>
      </c>
      <c r="K115" s="177">
        <v>39804.379184354002</v>
      </c>
      <c r="L115" s="214">
        <v>326113</v>
      </c>
    </row>
    <row r="116" spans="1:12">
      <c r="A116" s="5" t="s">
        <v>822</v>
      </c>
      <c r="B116" s="5">
        <v>0</v>
      </c>
      <c r="C116" s="5">
        <v>325180</v>
      </c>
      <c r="E116" s="5" t="s">
        <v>822</v>
      </c>
      <c r="F116" s="5">
        <v>0</v>
      </c>
      <c r="G116" s="5">
        <v>326111</v>
      </c>
      <c r="J116" s="213" t="s">
        <v>784</v>
      </c>
      <c r="K116" s="177">
        <v>1838.33698498391</v>
      </c>
      <c r="L116" s="214">
        <v>326121</v>
      </c>
    </row>
    <row r="117" spans="1:12">
      <c r="A117" s="5" t="s">
        <v>822</v>
      </c>
      <c r="B117" s="5">
        <v>0</v>
      </c>
      <c r="C117" s="5">
        <v>325193</v>
      </c>
      <c r="E117" s="5" t="s">
        <v>822</v>
      </c>
      <c r="F117" s="5">
        <v>0</v>
      </c>
      <c r="G117" s="5">
        <v>326112</v>
      </c>
      <c r="J117" s="213" t="s">
        <v>784</v>
      </c>
      <c r="K117" s="177">
        <v>5672.2035010973996</v>
      </c>
      <c r="L117" s="214">
        <v>326122</v>
      </c>
    </row>
    <row r="118" spans="1:12">
      <c r="A118" s="5" t="s">
        <v>822</v>
      </c>
      <c r="B118" s="5">
        <v>0</v>
      </c>
      <c r="C118" s="5">
        <v>325194</v>
      </c>
      <c r="E118" s="5" t="s">
        <v>822</v>
      </c>
      <c r="F118" s="5">
        <v>0</v>
      </c>
      <c r="G118" s="5">
        <v>326113</v>
      </c>
      <c r="J118" s="213" t="s">
        <v>784</v>
      </c>
      <c r="K118" s="177">
        <v>22378.612983899799</v>
      </c>
      <c r="L118" s="214">
        <v>326130</v>
      </c>
    </row>
    <row r="119" spans="1:12">
      <c r="A119" s="5" t="s">
        <v>822</v>
      </c>
      <c r="B119" s="5">
        <v>143057.42931585701</v>
      </c>
      <c r="C119" s="5">
        <v>325199</v>
      </c>
      <c r="E119" s="5" t="s">
        <v>822</v>
      </c>
      <c r="F119" s="5">
        <v>0</v>
      </c>
      <c r="G119" s="5">
        <v>326121</v>
      </c>
      <c r="J119" s="213" t="s">
        <v>784</v>
      </c>
      <c r="K119" s="177">
        <v>31025.746811578301</v>
      </c>
      <c r="L119" s="214">
        <v>326140</v>
      </c>
    </row>
    <row r="120" spans="1:12">
      <c r="A120" s="5" t="s">
        <v>822</v>
      </c>
      <c r="B120" s="5">
        <v>18207.292613854999</v>
      </c>
      <c r="C120" s="5">
        <v>325211</v>
      </c>
      <c r="E120" s="5" t="s">
        <v>822</v>
      </c>
      <c r="F120" s="5">
        <v>0</v>
      </c>
      <c r="G120" s="5">
        <v>326122</v>
      </c>
      <c r="J120" s="213" t="s">
        <v>784</v>
      </c>
      <c r="K120" s="177">
        <v>7373.4059866760799</v>
      </c>
      <c r="L120" s="214">
        <v>326150</v>
      </c>
    </row>
    <row r="121" spans="1:12">
      <c r="A121" s="5" t="s">
        <v>822</v>
      </c>
      <c r="B121" s="5">
        <v>0</v>
      </c>
      <c r="C121" s="5">
        <v>325212</v>
      </c>
      <c r="E121" s="5" t="s">
        <v>822</v>
      </c>
      <c r="F121" s="5">
        <v>0</v>
      </c>
      <c r="G121" s="5">
        <v>326130</v>
      </c>
      <c r="J121" s="213" t="s">
        <v>784</v>
      </c>
      <c r="K121" s="177">
        <v>8040.0083067224496</v>
      </c>
      <c r="L121" s="214">
        <v>326160</v>
      </c>
    </row>
    <row r="122" spans="1:12">
      <c r="A122" s="5" t="s">
        <v>822</v>
      </c>
      <c r="B122" s="5">
        <v>1214.77162293489</v>
      </c>
      <c r="C122" s="5">
        <v>325220</v>
      </c>
      <c r="E122" s="5" t="s">
        <v>822</v>
      </c>
      <c r="F122" s="5">
        <v>0</v>
      </c>
      <c r="G122" s="5">
        <v>326140</v>
      </c>
      <c r="J122" s="213" t="s">
        <v>784</v>
      </c>
      <c r="K122" s="177">
        <v>6675.5484791144199</v>
      </c>
      <c r="L122" s="214">
        <v>326191</v>
      </c>
    </row>
    <row r="123" spans="1:12">
      <c r="A123" s="5" t="s">
        <v>822</v>
      </c>
      <c r="B123" s="5">
        <v>0</v>
      </c>
      <c r="C123" s="5">
        <v>325311</v>
      </c>
      <c r="E123" s="5" t="s">
        <v>822</v>
      </c>
      <c r="F123" s="5">
        <v>0</v>
      </c>
      <c r="G123" s="5">
        <v>326150</v>
      </c>
      <c r="J123" s="213" t="s">
        <v>784</v>
      </c>
      <c r="K123" s="177">
        <v>123829.843440397</v>
      </c>
      <c r="L123" s="214">
        <v>326199</v>
      </c>
    </row>
    <row r="124" spans="1:12">
      <c r="A124" s="5" t="s">
        <v>822</v>
      </c>
      <c r="B124" s="5">
        <v>340.13605442176902</v>
      </c>
      <c r="C124" s="5">
        <v>325312</v>
      </c>
      <c r="E124" s="5" t="s">
        <v>822</v>
      </c>
      <c r="F124" s="5">
        <v>0</v>
      </c>
      <c r="G124" s="5">
        <v>326160</v>
      </c>
      <c r="J124" s="213" t="s">
        <v>784</v>
      </c>
      <c r="K124" s="177">
        <v>465.76542388926202</v>
      </c>
      <c r="L124" s="214">
        <v>326211</v>
      </c>
    </row>
    <row r="125" spans="1:12">
      <c r="A125" s="5" t="s">
        <v>822</v>
      </c>
      <c r="B125" s="5">
        <v>0</v>
      </c>
      <c r="C125" s="5">
        <v>325412</v>
      </c>
      <c r="E125" s="5" t="s">
        <v>822</v>
      </c>
      <c r="F125" s="5">
        <v>0</v>
      </c>
      <c r="G125" s="5">
        <v>326191</v>
      </c>
      <c r="J125" s="213" t="s">
        <v>784</v>
      </c>
      <c r="K125" s="177">
        <v>789.37002217489703</v>
      </c>
      <c r="L125" s="214">
        <v>326212</v>
      </c>
    </row>
    <row r="126" spans="1:12">
      <c r="A126" s="5" t="s">
        <v>822</v>
      </c>
      <c r="B126" s="5">
        <v>0</v>
      </c>
      <c r="C126" s="5">
        <v>325992</v>
      </c>
      <c r="E126" s="5" t="s">
        <v>822</v>
      </c>
      <c r="F126" s="5">
        <v>0</v>
      </c>
      <c r="G126" s="5">
        <v>326199</v>
      </c>
      <c r="J126" s="213" t="s">
        <v>784</v>
      </c>
      <c r="K126" s="177">
        <v>591.31327240637302</v>
      </c>
      <c r="L126" s="214">
        <v>326220</v>
      </c>
    </row>
    <row r="127" spans="1:12">
      <c r="E127" s="5" t="s">
        <v>822</v>
      </c>
      <c r="F127" s="5">
        <v>0</v>
      </c>
      <c r="G127" s="5">
        <v>326211</v>
      </c>
      <c r="J127" s="213" t="s">
        <v>784</v>
      </c>
      <c r="K127" s="177">
        <v>937.89337687363798</v>
      </c>
      <c r="L127" s="214">
        <v>326291</v>
      </c>
    </row>
    <row r="128" spans="1:12">
      <c r="C128">
        <f>SUM(B4:B126)</f>
        <v>1043358565.0216579</v>
      </c>
      <c r="E128" s="5" t="s">
        <v>822</v>
      </c>
      <c r="F128" s="5">
        <v>0</v>
      </c>
      <c r="G128" s="5">
        <v>326212</v>
      </c>
      <c r="J128" s="215" t="s">
        <v>784</v>
      </c>
      <c r="K128" s="216">
        <v>1629.3883553401799</v>
      </c>
      <c r="L128" s="217">
        <v>326299</v>
      </c>
    </row>
    <row r="129" spans="5:7">
      <c r="E129" s="5" t="s">
        <v>822</v>
      </c>
      <c r="F129" s="5">
        <v>0</v>
      </c>
      <c r="G129" s="5">
        <v>326220</v>
      </c>
    </row>
    <row r="130" spans="5:7">
      <c r="E130" s="5" t="s">
        <v>822</v>
      </c>
      <c r="F130" s="5">
        <v>0</v>
      </c>
      <c r="G130" s="5">
        <v>326291</v>
      </c>
    </row>
    <row r="131" spans="5:7">
      <c r="E131" s="5" t="s">
        <v>822</v>
      </c>
      <c r="F131" s="5">
        <v>0</v>
      </c>
      <c r="G131" s="5">
        <v>326299</v>
      </c>
    </row>
    <row r="133" spans="5:7">
      <c r="G133">
        <f>SUM(F4:F131)</f>
        <v>20952585.080253705</v>
      </c>
    </row>
  </sheetData>
  <autoFilter ref="Q3:S42">
    <sortState ref="Q4:S42">
      <sortCondition ref="Q3:Q42"/>
    </sortState>
  </autoFilter>
  <sortState ref="U17:W24">
    <sortCondition ref="U17"/>
  </sortState>
  <hyperlinks>
    <hyperlink ref="AD30" r:id="rId1"/>
    <hyperlink ref="AF45" r:id="rId2"/>
    <hyperlink ref="I63" r:id="rId3" location="/topic/0?agg=1,0,2&amp;fuel=008&amp;geo=0000000002&amp;sec=ueo&amp;freq=A&amp;start=2001&amp;end=2019&amp;ctype=linechart&amp;ltype=pin&amp;rtype=s&amp;maptype=0&amp;rse=0&amp;p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opLeftCell="A169" workbookViewId="0">
      <selection activeCell="B185" sqref="B185:AI193"/>
    </sheetView>
  </sheetViews>
  <sheetFormatPr defaultColWidth="8.796875" defaultRowHeight="14.25"/>
  <cols>
    <col min="1" max="1" width="29.6640625" style="5" customWidth="1"/>
    <col min="2" max="3" width="18.46484375" style="5" customWidth="1"/>
    <col min="4" max="4" width="23" style="5" customWidth="1"/>
    <col min="5" max="5" width="26.796875" style="5" customWidth="1"/>
    <col min="6" max="6" width="30.46484375" style="5" customWidth="1"/>
    <col min="7" max="7" width="11.33203125" style="5" customWidth="1"/>
    <col min="8" max="16384" width="8.796875" style="5"/>
  </cols>
  <sheetData>
    <row r="1" spans="1:4">
      <c r="A1" s="5" t="s">
        <v>512</v>
      </c>
    </row>
    <row r="2" spans="1:4">
      <c r="A2" s="5" t="s">
        <v>513</v>
      </c>
    </row>
    <row r="4" spans="1:4">
      <c r="A4" s="2" t="s">
        <v>514</v>
      </c>
      <c r="B4" s="2" t="s">
        <v>515</v>
      </c>
      <c r="C4" s="8"/>
    </row>
    <row r="5" spans="1:4">
      <c r="A5" s="5" t="s">
        <v>509</v>
      </c>
      <c r="B5" s="5" t="s">
        <v>5</v>
      </c>
    </row>
    <row r="6" spans="1:4">
      <c r="A6" s="5" t="s">
        <v>510</v>
      </c>
      <c r="B6" s="5" t="s">
        <v>510</v>
      </c>
    </row>
    <row r="7" spans="1:4">
      <c r="A7" s="5" t="s">
        <v>511</v>
      </c>
      <c r="B7" s="5" t="s">
        <v>9</v>
      </c>
    </row>
    <row r="9" spans="1:4">
      <c r="A9" s="5" t="s">
        <v>516</v>
      </c>
    </row>
    <row r="12" spans="1:4">
      <c r="A12" s="2" t="s">
        <v>527</v>
      </c>
      <c r="B12" s="8"/>
      <c r="C12" s="8"/>
    </row>
    <row r="13" spans="1:4">
      <c r="A13" s="5" t="s">
        <v>528</v>
      </c>
    </row>
    <row r="14" spans="1:4">
      <c r="A14" s="5" t="s">
        <v>517</v>
      </c>
      <c r="B14" s="97">
        <v>552.1</v>
      </c>
      <c r="C14" s="5" t="s">
        <v>526</v>
      </c>
    </row>
    <row r="15" spans="1:4">
      <c r="A15" s="5" t="s">
        <v>510</v>
      </c>
      <c r="B15" s="97">
        <v>485.3</v>
      </c>
      <c r="C15" s="5" t="s">
        <v>526</v>
      </c>
      <c r="D15" s="21"/>
    </row>
    <row r="16" spans="1:4">
      <c r="A16" s="5" t="s">
        <v>518</v>
      </c>
      <c r="B16" s="97">
        <v>208.9</v>
      </c>
      <c r="C16" s="5" t="s">
        <v>526</v>
      </c>
    </row>
    <row r="18" spans="1:8">
      <c r="A18" s="5" t="s">
        <v>525</v>
      </c>
    </row>
    <row r="19" spans="1:8">
      <c r="A19" s="5" t="s">
        <v>133</v>
      </c>
      <c r="B19" s="96">
        <v>0.32</v>
      </c>
    </row>
    <row r="20" spans="1:8">
      <c r="A20" s="5" t="s">
        <v>134</v>
      </c>
      <c r="B20" s="96">
        <v>0.1</v>
      </c>
    </row>
    <row r="21" spans="1:8">
      <c r="A21" s="5" t="s">
        <v>135</v>
      </c>
      <c r="B21" s="96">
        <v>0.22</v>
      </c>
    </row>
    <row r="22" spans="1:8">
      <c r="A22" s="5" t="s">
        <v>523</v>
      </c>
      <c r="B22" s="96">
        <v>0.34</v>
      </c>
    </row>
    <row r="23" spans="1:8">
      <c r="A23" s="5" t="s">
        <v>524</v>
      </c>
      <c r="B23" s="96">
        <v>0.02</v>
      </c>
    </row>
    <row r="24" spans="1:8">
      <c r="B24" s="96"/>
    </row>
    <row r="25" spans="1:8">
      <c r="A25" s="2" t="s">
        <v>539</v>
      </c>
      <c r="B25" s="101"/>
      <c r="F25" s="2" t="s">
        <v>845</v>
      </c>
      <c r="G25" s="101"/>
    </row>
    <row r="26" spans="1:8">
      <c r="A26" s="1" t="s">
        <v>535</v>
      </c>
      <c r="B26" s="96"/>
      <c r="F26" s="1" t="s">
        <v>535</v>
      </c>
    </row>
    <row r="27" spans="1:8">
      <c r="A27" s="5" t="s">
        <v>530</v>
      </c>
      <c r="F27" s="5" t="s">
        <v>530</v>
      </c>
    </row>
    <row r="28" spans="1:8">
      <c r="A28" s="5" t="s">
        <v>531</v>
      </c>
      <c r="F28" s="5" t="s">
        <v>531</v>
      </c>
    </row>
    <row r="29" spans="1:8">
      <c r="A29" s="5" t="s">
        <v>532</v>
      </c>
      <c r="F29" s="5" t="s">
        <v>846</v>
      </c>
    </row>
    <row r="30" spans="1:8">
      <c r="A30" s="5" t="s">
        <v>533</v>
      </c>
      <c r="F30" s="5" t="s">
        <v>533</v>
      </c>
    </row>
    <row r="31" spans="1:8">
      <c r="A31" s="5" t="s">
        <v>0</v>
      </c>
      <c r="B31" s="5" t="s">
        <v>534</v>
      </c>
      <c r="F31" s="5" t="s">
        <v>0</v>
      </c>
      <c r="G31" s="5" t="s">
        <v>847</v>
      </c>
      <c r="H31" s="5" t="s">
        <v>848</v>
      </c>
    </row>
    <row r="32" spans="1:8">
      <c r="A32" s="5">
        <v>2017</v>
      </c>
      <c r="B32" s="5">
        <v>774609357</v>
      </c>
      <c r="F32" s="5">
        <v>2018</v>
      </c>
      <c r="G32" s="5">
        <v>24822522</v>
      </c>
    </row>
    <row r="33" spans="1:10">
      <c r="A33" s="5">
        <v>2016</v>
      </c>
      <c r="B33" s="5">
        <v>728364498</v>
      </c>
      <c r="F33" s="5">
        <v>2017</v>
      </c>
      <c r="G33" s="5">
        <v>36382244</v>
      </c>
      <c r="H33" s="5">
        <f>G33/B32</f>
        <v>4.696850570060955E-2</v>
      </c>
    </row>
    <row r="34" spans="1:10">
      <c r="A34" s="5">
        <v>2015</v>
      </c>
      <c r="B34" s="5">
        <v>896940563</v>
      </c>
      <c r="F34" s="5">
        <v>2016</v>
      </c>
      <c r="G34" s="5">
        <v>39000584</v>
      </c>
      <c r="H34" s="5">
        <f>G34/B33</f>
        <v>5.3545421429917084E-2</v>
      </c>
    </row>
    <row r="35" spans="1:10">
      <c r="A35" s="5">
        <v>2014</v>
      </c>
      <c r="B35" s="5">
        <v>1000048758</v>
      </c>
      <c r="F35" s="5">
        <v>2015</v>
      </c>
      <c r="G35" s="5">
        <v>35917966</v>
      </c>
      <c r="H35" s="5">
        <f>G35/B34</f>
        <v>4.0044978989315708E-2</v>
      </c>
    </row>
    <row r="36" spans="1:10">
      <c r="A36" s="5">
        <v>2013</v>
      </c>
      <c r="B36" s="5">
        <v>984841779</v>
      </c>
      <c r="F36" s="5">
        <v>2014</v>
      </c>
      <c r="G36" s="5">
        <v>43654013</v>
      </c>
      <c r="H36" s="5">
        <f t="shared" ref="H36:H49" si="0">G36/B35</f>
        <v>4.3651884621409627E-2</v>
      </c>
    </row>
    <row r="37" spans="1:10">
      <c r="A37" s="5">
        <v>2012</v>
      </c>
      <c r="B37" s="5">
        <v>1016458418</v>
      </c>
      <c r="F37" s="5">
        <v>2013</v>
      </c>
      <c r="G37" s="5">
        <v>42850619</v>
      </c>
      <c r="H37" s="5">
        <f t="shared" si="0"/>
        <v>4.3510155553626244E-2</v>
      </c>
    </row>
    <row r="38" spans="1:10">
      <c r="A38" s="5">
        <v>2011</v>
      </c>
      <c r="B38" s="5">
        <v>1095627536</v>
      </c>
      <c r="F38" s="5">
        <v>2012</v>
      </c>
      <c r="G38" s="5">
        <v>44178225</v>
      </c>
      <c r="H38" s="5">
        <f t="shared" si="0"/>
        <v>4.3462894514588984E-2</v>
      </c>
    </row>
    <row r="39" spans="1:10">
      <c r="A39" s="5">
        <v>2010</v>
      </c>
      <c r="B39" s="5">
        <v>1084368148</v>
      </c>
      <c r="F39" s="5">
        <v>2011</v>
      </c>
      <c r="G39" s="5">
        <v>45903597</v>
      </c>
      <c r="H39" s="5">
        <f t="shared" si="0"/>
        <v>4.1897082258071323E-2</v>
      </c>
      <c r="I39" s="5">
        <f>AVERAGE(H33:H39)</f>
        <v>4.4725846152505508E-2</v>
      </c>
      <c r="J39" s="5" t="s">
        <v>849</v>
      </c>
    </row>
    <row r="40" spans="1:10">
      <c r="A40" s="5">
        <v>2009</v>
      </c>
      <c r="B40" s="5">
        <v>1074923392</v>
      </c>
      <c r="F40" s="104">
        <v>2010</v>
      </c>
      <c r="G40" s="104">
        <v>40982001</v>
      </c>
      <c r="H40" s="104">
        <f t="shared" si="0"/>
        <v>3.7793438580418351E-2</v>
      </c>
    </row>
    <row r="41" spans="1:10">
      <c r="A41" s="5">
        <v>2008</v>
      </c>
      <c r="B41" s="5">
        <v>1171808669</v>
      </c>
      <c r="F41" s="104">
        <v>2009</v>
      </c>
      <c r="G41" s="104">
        <v>35093268</v>
      </c>
      <c r="H41" s="104">
        <f t="shared" si="0"/>
        <v>3.2647227012806507E-2</v>
      </c>
    </row>
    <row r="42" spans="1:10">
      <c r="A42" s="5">
        <v>2007</v>
      </c>
      <c r="B42" s="5">
        <v>1146635345</v>
      </c>
      <c r="F42" s="104">
        <v>2008</v>
      </c>
      <c r="G42" s="104">
        <v>39016927</v>
      </c>
      <c r="H42" s="104">
        <f t="shared" si="0"/>
        <v>3.329632902724327E-2</v>
      </c>
    </row>
    <row r="43" spans="1:10">
      <c r="A43" s="104">
        <v>2006</v>
      </c>
      <c r="B43" s="104">
        <v>1162749659</v>
      </c>
      <c r="F43" s="104">
        <v>2007</v>
      </c>
      <c r="G43" s="104">
        <v>41948406</v>
      </c>
      <c r="H43" s="104">
        <f t="shared" si="0"/>
        <v>3.6583911513734121E-2</v>
      </c>
    </row>
    <row r="44" spans="1:10">
      <c r="A44" s="104">
        <v>2005</v>
      </c>
      <c r="B44" s="104">
        <v>1131498099</v>
      </c>
      <c r="F44" s="104">
        <v>2006</v>
      </c>
      <c r="G44" s="104">
        <v>45547617</v>
      </c>
      <c r="H44" s="104">
        <f t="shared" si="0"/>
        <v>3.9172333139338295E-2</v>
      </c>
    </row>
    <row r="45" spans="1:10">
      <c r="A45" s="104">
        <v>2004</v>
      </c>
      <c r="B45" s="104">
        <v>1112098870</v>
      </c>
      <c r="F45" s="104">
        <v>2005</v>
      </c>
      <c r="G45" s="104">
        <v>45938679</v>
      </c>
      <c r="H45" s="104">
        <f t="shared" si="0"/>
        <v>4.0599872894704701E-2</v>
      </c>
    </row>
    <row r="46" spans="1:10">
      <c r="A46" s="104">
        <v>2003</v>
      </c>
      <c r="B46" s="104">
        <v>1071752573</v>
      </c>
      <c r="F46" s="104">
        <v>2004</v>
      </c>
      <c r="G46" s="104">
        <v>45862826</v>
      </c>
      <c r="H46" s="104">
        <f t="shared" si="0"/>
        <v>4.1239881846116794E-2</v>
      </c>
    </row>
    <row r="47" spans="1:10">
      <c r="A47" s="104">
        <v>2002</v>
      </c>
      <c r="B47" s="104">
        <v>1094283061</v>
      </c>
      <c r="F47" s="104">
        <v>2003</v>
      </c>
      <c r="G47" s="104">
        <v>47516757</v>
      </c>
      <c r="H47" s="104">
        <f t="shared" si="0"/>
        <v>4.4335566059798021E-2</v>
      </c>
    </row>
    <row r="48" spans="1:10">
      <c r="A48" s="104">
        <v>2001</v>
      </c>
      <c r="B48" s="104">
        <v>1127688806</v>
      </c>
      <c r="F48" s="104">
        <v>2002</v>
      </c>
      <c r="G48" s="104">
        <v>45246622</v>
      </c>
      <c r="H48" s="104">
        <f t="shared" si="0"/>
        <v>4.1348188245417791E-2</v>
      </c>
    </row>
    <row r="49" spans="1:8">
      <c r="B49" s="96"/>
      <c r="F49" s="104">
        <v>2001</v>
      </c>
      <c r="G49" s="104">
        <v>45042406</v>
      </c>
      <c r="H49" s="104">
        <f t="shared" si="0"/>
        <v>3.9942230303561248E-2</v>
      </c>
    </row>
    <row r="50" spans="1:8">
      <c r="A50" s="5" t="s">
        <v>536</v>
      </c>
      <c r="B50" s="96"/>
    </row>
    <row r="51" spans="1:8">
      <c r="A51" s="1" t="s">
        <v>554</v>
      </c>
      <c r="B51" s="102">
        <f>B15*(B32/B42)</f>
        <v>327.84435138103998</v>
      </c>
      <c r="C51" s="5" t="s">
        <v>526</v>
      </c>
      <c r="F51" s="5" t="s">
        <v>850</v>
      </c>
      <c r="G51" s="96"/>
    </row>
    <row r="52" spans="1:8">
      <c r="B52" s="96"/>
      <c r="F52" s="1" t="s">
        <v>554</v>
      </c>
      <c r="G52" s="102">
        <f>(B15*I39)*(G33/G39)</f>
        <v>17.203294377789231</v>
      </c>
      <c r="H52" s="5" t="s">
        <v>526</v>
      </c>
    </row>
    <row r="53" spans="1:8">
      <c r="B53" s="96"/>
      <c r="F53" s="1" t="s">
        <v>851</v>
      </c>
      <c r="G53" s="102">
        <f>(B15*I39)*(G32/G39)</f>
        <v>11.737295620499646</v>
      </c>
      <c r="H53" s="5" t="s">
        <v>526</v>
      </c>
    </row>
    <row r="54" spans="1:8">
      <c r="A54" s="2" t="s">
        <v>538</v>
      </c>
      <c r="B54" s="101"/>
      <c r="C54" s="8"/>
      <c r="D54" s="8"/>
    </row>
    <row r="55" spans="1:8">
      <c r="A55" s="1" t="s">
        <v>540</v>
      </c>
      <c r="B55" s="96"/>
    </row>
    <row r="56" spans="1:8">
      <c r="A56" s="5" t="s">
        <v>541</v>
      </c>
    </row>
    <row r="57" spans="1:8">
      <c r="A57" s="5" t="s">
        <v>542</v>
      </c>
    </row>
    <row r="58" spans="1:8">
      <c r="A58" s="5" t="s">
        <v>543</v>
      </c>
    </row>
    <row r="59" spans="1:8">
      <c r="A59" s="5" t="s">
        <v>544</v>
      </c>
    </row>
    <row r="60" spans="1:8">
      <c r="A60" s="5" t="s">
        <v>545</v>
      </c>
    </row>
    <row r="61" spans="1:8">
      <c r="A61" s="5" t="s">
        <v>546</v>
      </c>
    </row>
    <row r="63" spans="1:8">
      <c r="A63" s="5" t="s">
        <v>547</v>
      </c>
      <c r="B63" s="5" t="s">
        <v>548</v>
      </c>
    </row>
    <row r="65" spans="1:4">
      <c r="A65" s="5" t="s">
        <v>549</v>
      </c>
    </row>
    <row r="66" spans="1:4">
      <c r="A66" s="5" t="s">
        <v>550</v>
      </c>
      <c r="B66" s="5" t="s">
        <v>547</v>
      </c>
      <c r="D66" s="32" t="s">
        <v>551</v>
      </c>
    </row>
    <row r="67" spans="1:4">
      <c r="A67" s="103">
        <v>39083</v>
      </c>
      <c r="B67" s="98">
        <v>99.267099999999999</v>
      </c>
    </row>
    <row r="68" spans="1:4">
      <c r="A68" s="103">
        <v>39173</v>
      </c>
      <c r="B68" s="98">
        <v>104.2872</v>
      </c>
    </row>
    <row r="69" spans="1:4">
      <c r="A69" s="103">
        <v>39264</v>
      </c>
      <c r="B69" s="98">
        <v>106.077</v>
      </c>
    </row>
    <row r="70" spans="1:4">
      <c r="A70" s="103">
        <v>39356</v>
      </c>
      <c r="B70" s="98">
        <v>100.1306</v>
      </c>
    </row>
    <row r="71" spans="1:4">
      <c r="A71" s="103">
        <v>39448</v>
      </c>
      <c r="B71" s="98">
        <v>102.83580000000001</v>
      </c>
    </row>
    <row r="72" spans="1:4">
      <c r="A72" s="103">
        <v>39539</v>
      </c>
      <c r="B72" s="98">
        <v>112.3052</v>
      </c>
    </row>
    <row r="73" spans="1:4">
      <c r="A73" s="103">
        <v>39630</v>
      </c>
      <c r="B73" s="98">
        <v>116.2882</v>
      </c>
    </row>
    <row r="74" spans="1:4">
      <c r="A74" s="103">
        <v>39722</v>
      </c>
      <c r="B74" s="98">
        <v>112.4958</v>
      </c>
    </row>
    <row r="75" spans="1:4">
      <c r="A75" s="103">
        <v>39814</v>
      </c>
      <c r="B75" s="98">
        <v>103.09180000000001</v>
      </c>
    </row>
    <row r="76" spans="1:4">
      <c r="A76" s="103">
        <v>39904</v>
      </c>
      <c r="B76" s="98">
        <v>102.3082</v>
      </c>
    </row>
    <row r="77" spans="1:4">
      <c r="A77" s="103">
        <v>39995</v>
      </c>
      <c r="B77" s="98">
        <v>100.2642</v>
      </c>
    </row>
    <row r="78" spans="1:4">
      <c r="A78" s="103">
        <v>40087</v>
      </c>
      <c r="B78" s="98">
        <v>98.797899999999998</v>
      </c>
    </row>
    <row r="79" spans="1:4">
      <c r="A79" s="103">
        <v>40179</v>
      </c>
      <c r="B79" s="98">
        <v>97.08</v>
      </c>
    </row>
    <row r="80" spans="1:4">
      <c r="A80" s="103">
        <v>40269</v>
      </c>
      <c r="B80" s="98">
        <v>93.694699999999997</v>
      </c>
    </row>
    <row r="81" spans="1:5">
      <c r="A81" s="103">
        <v>40360</v>
      </c>
      <c r="B81" s="98">
        <v>95.671199999999999</v>
      </c>
    </row>
    <row r="82" spans="1:5">
      <c r="A82" s="103">
        <v>40452</v>
      </c>
      <c r="B82" s="98">
        <v>97.705600000000004</v>
      </c>
    </row>
    <row r="83" spans="1:5">
      <c r="A83" s="103">
        <v>40544</v>
      </c>
      <c r="B83" s="98">
        <v>93.684100000000001</v>
      </c>
      <c r="D83" s="5" t="s">
        <v>553</v>
      </c>
    </row>
    <row r="84" spans="1:5">
      <c r="A84" s="103">
        <v>40634</v>
      </c>
      <c r="B84" s="98">
        <v>95.465100000000007</v>
      </c>
      <c r="D84" s="5" t="s">
        <v>552</v>
      </c>
    </row>
    <row r="85" spans="1:5">
      <c r="A85" s="103">
        <v>40725</v>
      </c>
      <c r="B85" s="98">
        <v>95.0244</v>
      </c>
    </row>
    <row r="86" spans="1:5">
      <c r="A86" s="103">
        <v>40817</v>
      </c>
      <c r="B86" s="98">
        <v>100.304</v>
      </c>
      <c r="D86" s="1" t="s">
        <v>555</v>
      </c>
    </row>
    <row r="87" spans="1:5">
      <c r="A87" s="103">
        <v>40909</v>
      </c>
      <c r="B87" s="98">
        <v>95.764899999999997</v>
      </c>
      <c r="D87" s="100">
        <f>SUM(B14,B16)</f>
        <v>761</v>
      </c>
      <c r="E87" s="5" t="s">
        <v>526</v>
      </c>
    </row>
    <row r="88" spans="1:5">
      <c r="A88" s="103">
        <v>41000</v>
      </c>
      <c r="B88" s="98">
        <v>95.798500000000004</v>
      </c>
    </row>
    <row r="89" spans="1:5">
      <c r="A89" s="103">
        <v>41091</v>
      </c>
      <c r="B89" s="98">
        <v>99.638300000000001</v>
      </c>
    </row>
    <row r="90" spans="1:5">
      <c r="A90" s="103">
        <v>41183</v>
      </c>
      <c r="B90" s="98">
        <v>108.7984</v>
      </c>
    </row>
    <row r="91" spans="1:5">
      <c r="A91" s="103">
        <v>41275</v>
      </c>
      <c r="B91" s="98">
        <v>103.8347</v>
      </c>
    </row>
    <row r="92" spans="1:5">
      <c r="A92" s="103">
        <v>41365</v>
      </c>
      <c r="B92" s="98">
        <v>103.6388</v>
      </c>
    </row>
    <row r="93" spans="1:5">
      <c r="A93" s="103">
        <v>41456</v>
      </c>
      <c r="B93" s="98">
        <v>107.0341</v>
      </c>
    </row>
    <row r="94" spans="1:5">
      <c r="A94" s="103">
        <v>41548</v>
      </c>
      <c r="B94" s="98">
        <v>111.393</v>
      </c>
    </row>
    <row r="95" spans="1:5">
      <c r="A95" s="103">
        <v>41640</v>
      </c>
      <c r="B95" s="98">
        <v>117.76479999999999</v>
      </c>
    </row>
    <row r="96" spans="1:5">
      <c r="A96" s="103">
        <v>41730</v>
      </c>
      <c r="B96" s="98">
        <v>115.3798</v>
      </c>
    </row>
    <row r="97" spans="1:3">
      <c r="A97" s="103">
        <v>41821</v>
      </c>
      <c r="B97" s="98">
        <v>116.066</v>
      </c>
    </row>
    <row r="98" spans="1:3">
      <c r="A98" s="103">
        <v>41913</v>
      </c>
      <c r="B98" s="98">
        <v>113.0398</v>
      </c>
    </row>
    <row r="99" spans="1:3">
      <c r="A99" s="103">
        <v>42005</v>
      </c>
      <c r="B99" s="98">
        <v>116.0885</v>
      </c>
    </row>
    <row r="100" spans="1:3">
      <c r="A100" s="103">
        <v>42095</v>
      </c>
      <c r="B100" s="98">
        <v>112.4504</v>
      </c>
    </row>
    <row r="101" spans="1:3">
      <c r="A101" s="103">
        <v>42186</v>
      </c>
      <c r="B101" s="98">
        <v>116.9135</v>
      </c>
    </row>
    <row r="102" spans="1:3">
      <c r="A102" s="103">
        <v>42278</v>
      </c>
      <c r="B102" s="98">
        <v>121.7403</v>
      </c>
    </row>
    <row r="103" spans="1:3">
      <c r="A103" s="103">
        <v>42370</v>
      </c>
      <c r="B103" s="98">
        <v>122.0089</v>
      </c>
    </row>
    <row r="104" spans="1:3">
      <c r="A104" s="103">
        <v>42461</v>
      </c>
      <c r="B104" s="98">
        <v>122.38030000000001</v>
      </c>
    </row>
    <row r="105" spans="1:3">
      <c r="A105" s="103">
        <v>42552</v>
      </c>
      <c r="B105" s="98">
        <v>119.1635</v>
      </c>
    </row>
    <row r="106" spans="1:3">
      <c r="A106" s="103">
        <v>42644</v>
      </c>
      <c r="B106" s="98">
        <v>114.9307</v>
      </c>
    </row>
    <row r="107" spans="1:3">
      <c r="A107" s="103">
        <v>42736</v>
      </c>
      <c r="B107" s="98">
        <v>109.84480000000001</v>
      </c>
    </row>
    <row r="108" spans="1:3">
      <c r="A108" s="103">
        <v>42826</v>
      </c>
      <c r="B108" s="98">
        <v>108.5098</v>
      </c>
    </row>
    <row r="109" spans="1:3">
      <c r="A109" s="103">
        <v>42917</v>
      </c>
      <c r="B109" s="98">
        <v>103.5835</v>
      </c>
    </row>
    <row r="110" spans="1:3">
      <c r="A110" s="103">
        <v>43009</v>
      </c>
      <c r="B110" s="98">
        <v>105.25449999999999</v>
      </c>
    </row>
    <row r="111" spans="1:3">
      <c r="B111" s="96"/>
    </row>
    <row r="112" spans="1:3">
      <c r="A112" s="2" t="s">
        <v>556</v>
      </c>
      <c r="B112" s="106"/>
      <c r="C112" s="2"/>
    </row>
    <row r="113" spans="1:6">
      <c r="A113" s="5" t="s">
        <v>509</v>
      </c>
      <c r="B113" s="99">
        <f>Data!C76-SUM('Mining Breakdown'!B114:B115)</f>
        <v>1761.1297696189602</v>
      </c>
      <c r="C113" s="5" t="s">
        <v>537</v>
      </c>
    </row>
    <row r="114" spans="1:6">
      <c r="A114" s="5" t="s">
        <v>510</v>
      </c>
      <c r="B114" s="99">
        <f>B51</f>
        <v>327.84435138103998</v>
      </c>
      <c r="C114" s="5" t="s">
        <v>537</v>
      </c>
    </row>
    <row r="115" spans="1:6">
      <c r="A115" s="5" t="s">
        <v>511</v>
      </c>
      <c r="B115" s="99">
        <f>D87</f>
        <v>761</v>
      </c>
      <c r="C115" s="5" t="s">
        <v>537</v>
      </c>
    </row>
    <row r="116" spans="1:6">
      <c r="B116" s="96"/>
    </row>
    <row r="117" spans="1:6">
      <c r="B117" s="96"/>
    </row>
    <row r="118" spans="1:6">
      <c r="B118" s="96"/>
    </row>
    <row r="119" spans="1:6">
      <c r="A119" s="2" t="s">
        <v>562</v>
      </c>
      <c r="B119" s="101"/>
      <c r="C119" s="8"/>
      <c r="D119" s="8"/>
      <c r="E119" s="8"/>
      <c r="F119" s="8"/>
    </row>
    <row r="120" spans="1:6">
      <c r="B120" s="1" t="s">
        <v>557</v>
      </c>
      <c r="C120" s="1" t="s">
        <v>509</v>
      </c>
      <c r="D120" s="1" t="s">
        <v>510</v>
      </c>
      <c r="E120" s="1" t="s">
        <v>511</v>
      </c>
      <c r="F120" s="1" t="s">
        <v>558</v>
      </c>
    </row>
    <row r="121" spans="1:6">
      <c r="A121" s="142" t="s">
        <v>39</v>
      </c>
      <c r="B121" s="81">
        <f>Data!C65</f>
        <v>39.882384999999999</v>
      </c>
    </row>
    <row r="122" spans="1:6">
      <c r="A122" s="142" t="s">
        <v>40</v>
      </c>
      <c r="B122" s="81">
        <f>Data!C66</f>
        <v>228.57501199999999</v>
      </c>
    </row>
    <row r="123" spans="1:6">
      <c r="A123" s="142" t="s">
        <v>41</v>
      </c>
      <c r="B123" s="81">
        <f>Data!C67</f>
        <v>65.711997999999994</v>
      </c>
    </row>
    <row r="124" spans="1:6">
      <c r="A124" s="142" t="s">
        <v>42</v>
      </c>
      <c r="B124" s="81">
        <f>Data!C68</f>
        <v>35.022635999999999</v>
      </c>
    </row>
    <row r="125" spans="1:6">
      <c r="A125" s="142" t="s">
        <v>43</v>
      </c>
      <c r="B125" s="81">
        <f>Data!C70</f>
        <v>369.85443099999998</v>
      </c>
    </row>
    <row r="126" spans="1:6">
      <c r="A126" s="142" t="s">
        <v>105</v>
      </c>
      <c r="B126" s="81">
        <f>Data!C71</f>
        <v>1627.4532469999999</v>
      </c>
      <c r="C126" s="81">
        <f>B126</f>
        <v>1627.4532469999999</v>
      </c>
      <c r="D126" s="5">
        <v>0</v>
      </c>
      <c r="E126" s="5">
        <v>0</v>
      </c>
      <c r="F126" s="5" t="s">
        <v>559</v>
      </c>
    </row>
    <row r="127" spans="1:6">
      <c r="A127" s="142" t="s">
        <v>44</v>
      </c>
      <c r="B127" s="81">
        <f>Data!C72</f>
        <v>95.212340999999995</v>
      </c>
      <c r="C127" s="5">
        <v>0</v>
      </c>
      <c r="D127" s="81">
        <f>B127</f>
        <v>95.212340999999995</v>
      </c>
      <c r="E127" s="5">
        <v>0</v>
      </c>
      <c r="F127" s="5" t="s">
        <v>560</v>
      </c>
    </row>
    <row r="128" spans="1:6">
      <c r="A128" s="142" t="s">
        <v>45</v>
      </c>
      <c r="B128" s="81">
        <f>Data!C73</f>
        <v>6.2435619999999998</v>
      </c>
    </row>
    <row r="129" spans="1:6">
      <c r="A129" s="142" t="s">
        <v>49</v>
      </c>
      <c r="B129" s="81">
        <f>Data!C74</f>
        <v>382.01821899999999</v>
      </c>
    </row>
    <row r="130" spans="1:6">
      <c r="A130" s="143" t="s">
        <v>561</v>
      </c>
      <c r="B130" s="81"/>
      <c r="C130" s="99">
        <f>B113</f>
        <v>1761.1297696189602</v>
      </c>
      <c r="D130" s="99">
        <f>B114</f>
        <v>327.84435138103998</v>
      </c>
      <c r="E130" s="99">
        <f>B115</f>
        <v>761</v>
      </c>
    </row>
    <row r="133" spans="1:6">
      <c r="A133" s="2" t="s">
        <v>563</v>
      </c>
      <c r="B133" s="8"/>
    </row>
    <row r="134" spans="1:6">
      <c r="A134" s="5" t="s">
        <v>133</v>
      </c>
      <c r="B134" s="107">
        <f>B19/SUM(B$19,B$21:B$23)</f>
        <v>0.35555555555555551</v>
      </c>
      <c r="C134" s="105"/>
    </row>
    <row r="135" spans="1:6">
      <c r="A135" s="5" t="s">
        <v>135</v>
      </c>
      <c r="B135" s="107">
        <f>B21/SUM(B$19,B$21:B$23)</f>
        <v>0.24444444444444441</v>
      </c>
      <c r="C135" s="81"/>
    </row>
    <row r="136" spans="1:6">
      <c r="A136" s="5" t="s">
        <v>523</v>
      </c>
      <c r="B136" s="107">
        <f>B22/SUM(B$19,B$21:B$23)</f>
        <v>0.37777777777777777</v>
      </c>
      <c r="C136" s="81"/>
    </row>
    <row r="137" spans="1:6">
      <c r="A137" s="5" t="s">
        <v>524</v>
      </c>
      <c r="B137" s="107">
        <f>B23/SUM(B$19,B$21:B$23)</f>
        <v>2.222222222222222E-2</v>
      </c>
      <c r="C137" s="81"/>
    </row>
    <row r="138" spans="1:6">
      <c r="C138" s="81"/>
    </row>
    <row r="139" spans="1:6">
      <c r="A139" s="2" t="s">
        <v>564</v>
      </c>
      <c r="B139" s="8"/>
      <c r="C139" s="8"/>
      <c r="D139" s="8"/>
      <c r="E139" s="8"/>
    </row>
    <row r="140" spans="1:6">
      <c r="C140" s="1" t="s">
        <v>509</v>
      </c>
      <c r="D140" s="1" t="s">
        <v>510</v>
      </c>
      <c r="E140" s="1" t="s">
        <v>511</v>
      </c>
    </row>
    <row r="141" spans="1:6">
      <c r="A141" s="5" t="s">
        <v>133</v>
      </c>
      <c r="C141" s="81">
        <f>SUM(B128:B129)-SUM(D141:E141)</f>
        <v>34.970399531185819</v>
      </c>
      <c r="D141" s="81">
        <f>(D$130-D$127)*B134</f>
        <v>82.71360369103644</v>
      </c>
      <c r="E141" s="81">
        <f>E$130*B134</f>
        <v>270.57777777777773</v>
      </c>
    </row>
    <row r="142" spans="1:6">
      <c r="A142" s="5" t="s">
        <v>135</v>
      </c>
      <c r="C142" s="81">
        <f>B125-SUM(D142:E142)</f>
        <v>126.96660624019023</v>
      </c>
      <c r="D142" s="81">
        <f>(D$130-D$127)*B135</f>
        <v>56.865602537587549</v>
      </c>
      <c r="E142" s="81">
        <f>E$130*B135</f>
        <v>186.02222222222218</v>
      </c>
    </row>
    <row r="143" spans="1:6">
      <c r="A143" s="5" t="s">
        <v>523</v>
      </c>
      <c r="C143" s="110">
        <f>MAX(0,SUM(B121:B124)-SUM(D143:E143))</f>
        <v>0</v>
      </c>
      <c r="D143" s="81">
        <f>(D$130-D$127)*B136</f>
        <v>87.883203921726221</v>
      </c>
      <c r="E143" s="81">
        <f>E$130*B136</f>
        <v>287.48888888888888</v>
      </c>
      <c r="F143" s="32" t="s">
        <v>577</v>
      </c>
    </row>
    <row r="144" spans="1:6">
      <c r="A144" s="5" t="s">
        <v>524</v>
      </c>
      <c r="C144" s="81">
        <f>B123-SUM(D144:E144)</f>
        <v>43.631286658199109</v>
      </c>
      <c r="D144" s="81">
        <f>(D$130-D$127)*B137</f>
        <v>5.1696002306897775</v>
      </c>
      <c r="E144" s="81">
        <f>E$130*B137</f>
        <v>16.911111111111108</v>
      </c>
      <c r="F144" s="5" t="s">
        <v>578</v>
      </c>
    </row>
    <row r="145" spans="1:35">
      <c r="A145" s="5" t="s">
        <v>134</v>
      </c>
      <c r="C145" s="5">
        <v>0</v>
      </c>
      <c r="D145" s="81">
        <f>D127</f>
        <v>95.212340999999995</v>
      </c>
      <c r="E145" s="5">
        <v>0</v>
      </c>
    </row>
    <row r="146" spans="1:35">
      <c r="B146" s="96"/>
    </row>
    <row r="147" spans="1:35">
      <c r="A147" s="2" t="s">
        <v>565</v>
      </c>
      <c r="B147" s="101"/>
      <c r="C147" s="8"/>
      <c r="D147" s="8"/>
      <c r="E147" s="8"/>
    </row>
    <row r="148" spans="1:35">
      <c r="B148" s="1"/>
      <c r="C148" s="1" t="s">
        <v>509</v>
      </c>
      <c r="D148" s="1" t="s">
        <v>510</v>
      </c>
      <c r="E148" s="1" t="s">
        <v>511</v>
      </c>
    </row>
    <row r="149" spans="1:35">
      <c r="A149" s="142" t="s">
        <v>39</v>
      </c>
      <c r="B149" s="81"/>
      <c r="C149" s="49">
        <f>C$143/SUM($C$143:$E$143)</f>
        <v>0</v>
      </c>
      <c r="D149" s="49">
        <f t="shared" ref="D149:E152" si="1">D$143/SUM($C$143:$E$143)</f>
        <v>0.23412290259432145</v>
      </c>
      <c r="E149" s="49">
        <f t="shared" si="1"/>
        <v>0.76587709740567866</v>
      </c>
    </row>
    <row r="150" spans="1:35">
      <c r="A150" s="142" t="s">
        <v>40</v>
      </c>
      <c r="B150" s="81"/>
      <c r="C150" s="49">
        <f>C$143/SUM($C$143:$E$143)</f>
        <v>0</v>
      </c>
      <c r="D150" s="49">
        <f t="shared" si="1"/>
        <v>0.23412290259432145</v>
      </c>
      <c r="E150" s="49">
        <f t="shared" si="1"/>
        <v>0.76587709740567866</v>
      </c>
    </row>
    <row r="151" spans="1:35">
      <c r="A151" s="142" t="s">
        <v>41</v>
      </c>
      <c r="B151" s="81"/>
      <c r="C151" s="49">
        <f>C$143/SUM($C$143:$E$143)</f>
        <v>0</v>
      </c>
      <c r="D151" s="49">
        <f t="shared" si="1"/>
        <v>0.23412290259432145</v>
      </c>
      <c r="E151" s="49">
        <f t="shared" si="1"/>
        <v>0.76587709740567866</v>
      </c>
    </row>
    <row r="152" spans="1:35">
      <c r="A152" s="142" t="s">
        <v>42</v>
      </c>
      <c r="B152" s="81"/>
      <c r="C152" s="49">
        <f>C$143/SUM($C$143:$E$143)</f>
        <v>0</v>
      </c>
      <c r="D152" s="49">
        <f t="shared" si="1"/>
        <v>0.23412290259432145</v>
      </c>
      <c r="E152" s="49">
        <f t="shared" si="1"/>
        <v>0.76587709740567866</v>
      </c>
    </row>
    <row r="153" spans="1:35">
      <c r="A153" s="142" t="s">
        <v>43</v>
      </c>
      <c r="B153" s="81"/>
      <c r="C153" s="108">
        <f>C$142/SUM($C$142:$E$142)</f>
        <v>0.34328804956291098</v>
      </c>
      <c r="D153" s="108">
        <f>D142/SUM($C$142:$E$142)</f>
        <v>0.15375130800470943</v>
      </c>
      <c r="E153" s="108">
        <f>E142/SUM($C$142:$E$142)</f>
        <v>0.50296064243237959</v>
      </c>
    </row>
    <row r="154" spans="1:35">
      <c r="A154" s="142" t="s">
        <v>105</v>
      </c>
      <c r="B154" s="81"/>
      <c r="C154" s="49">
        <v>1</v>
      </c>
      <c r="D154" s="96">
        <v>0</v>
      </c>
      <c r="E154" s="96">
        <v>0</v>
      </c>
    </row>
    <row r="155" spans="1:35">
      <c r="A155" s="142" t="s">
        <v>44</v>
      </c>
      <c r="B155" s="81"/>
      <c r="C155" s="96">
        <v>0</v>
      </c>
      <c r="D155" s="96">
        <v>1</v>
      </c>
      <c r="E155" s="96">
        <v>0</v>
      </c>
    </row>
    <row r="156" spans="1:35">
      <c r="A156" s="142" t="s">
        <v>45</v>
      </c>
      <c r="B156" s="81"/>
      <c r="C156" s="49">
        <f t="shared" ref="C156:E157" si="2">C$141/SUM($C$141:$E$141)</f>
        <v>9.006912666272919E-2</v>
      </c>
      <c r="D156" s="49">
        <f t="shared" si="2"/>
        <v>0.2130356572259077</v>
      </c>
      <c r="E156" s="49">
        <f t="shared" si="2"/>
        <v>0.69689521611136307</v>
      </c>
    </row>
    <row r="157" spans="1:35">
      <c r="A157" s="142" t="s">
        <v>49</v>
      </c>
      <c r="B157" s="81"/>
      <c r="C157" s="49">
        <f t="shared" si="2"/>
        <v>9.006912666272919E-2</v>
      </c>
      <c r="D157" s="49">
        <f t="shared" si="2"/>
        <v>0.2130356572259077</v>
      </c>
      <c r="E157" s="49">
        <f t="shared" si="2"/>
        <v>0.69689521611136307</v>
      </c>
    </row>
    <row r="158" spans="1:35">
      <c r="B158" s="96"/>
    </row>
    <row r="159" spans="1:35">
      <c r="A159" s="111" t="s">
        <v>575</v>
      </c>
      <c r="B159" s="109"/>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spans="1:35">
      <c r="B160" s="5">
        <v>2017</v>
      </c>
      <c r="C160" s="5">
        <v>2018</v>
      </c>
      <c r="D160" s="5">
        <v>2019</v>
      </c>
      <c r="E160" s="5">
        <v>2020</v>
      </c>
      <c r="F160" s="5">
        <v>2021</v>
      </c>
      <c r="G160" s="5">
        <v>2022</v>
      </c>
      <c r="H160" s="5">
        <v>2023</v>
      </c>
      <c r="I160" s="5">
        <v>2024</v>
      </c>
      <c r="J160" s="5">
        <v>2025</v>
      </c>
      <c r="K160" s="5">
        <v>2026</v>
      </c>
      <c r="L160" s="5">
        <v>2027</v>
      </c>
      <c r="M160" s="5">
        <v>2028</v>
      </c>
      <c r="N160" s="5">
        <v>2029</v>
      </c>
      <c r="O160" s="5">
        <v>2030</v>
      </c>
      <c r="P160" s="5">
        <v>2031</v>
      </c>
      <c r="Q160" s="5">
        <v>2032</v>
      </c>
      <c r="R160" s="5">
        <v>2033</v>
      </c>
      <c r="S160" s="5">
        <v>2034</v>
      </c>
      <c r="T160" s="5">
        <v>2035</v>
      </c>
      <c r="U160" s="5">
        <v>2036</v>
      </c>
      <c r="V160" s="5">
        <v>2037</v>
      </c>
      <c r="W160" s="5">
        <v>2038</v>
      </c>
      <c r="X160" s="5">
        <v>2039</v>
      </c>
      <c r="Y160" s="5">
        <v>2040</v>
      </c>
      <c r="Z160" s="5">
        <v>2041</v>
      </c>
      <c r="AA160" s="5">
        <v>2042</v>
      </c>
      <c r="AB160" s="5">
        <v>2043</v>
      </c>
      <c r="AC160" s="5">
        <v>2044</v>
      </c>
      <c r="AD160" s="5">
        <v>2045</v>
      </c>
      <c r="AE160" s="5">
        <v>2046</v>
      </c>
      <c r="AF160" s="5">
        <v>2047</v>
      </c>
      <c r="AG160" s="5">
        <v>2048</v>
      </c>
      <c r="AH160" s="5">
        <v>2049</v>
      </c>
      <c r="AI160" s="5">
        <v>2050</v>
      </c>
    </row>
    <row r="161" spans="1:35">
      <c r="A161" s="142" t="s">
        <v>39</v>
      </c>
      <c r="B161" s="5">
        <f>Data!C65*$C149</f>
        <v>0</v>
      </c>
      <c r="C161" s="5">
        <f>Data!D65*$C149</f>
        <v>0</v>
      </c>
      <c r="D161" s="5">
        <f>Data!E65*$C149</f>
        <v>0</v>
      </c>
      <c r="E161" s="5">
        <f>Data!F65*$C149</f>
        <v>0</v>
      </c>
      <c r="F161" s="5">
        <f>Data!G65*$C149</f>
        <v>0</v>
      </c>
      <c r="G161" s="5">
        <f>Data!H65*$C149</f>
        <v>0</v>
      </c>
      <c r="H161" s="5">
        <f>Data!I65*$C149</f>
        <v>0</v>
      </c>
      <c r="I161" s="5">
        <f>Data!J65*$C149</f>
        <v>0</v>
      </c>
      <c r="J161" s="5">
        <f>Data!K65*$C149</f>
        <v>0</v>
      </c>
      <c r="K161" s="5">
        <f>Data!L65*$C149</f>
        <v>0</v>
      </c>
      <c r="L161" s="5">
        <f>Data!M65*$C149</f>
        <v>0</v>
      </c>
      <c r="M161" s="5">
        <f>Data!N65*$C149</f>
        <v>0</v>
      </c>
      <c r="N161" s="5">
        <f>Data!O65*$C149</f>
        <v>0</v>
      </c>
      <c r="O161" s="5">
        <f>Data!P65*$C149</f>
        <v>0</v>
      </c>
      <c r="P161" s="5">
        <f>Data!Q65*$C149</f>
        <v>0</v>
      </c>
      <c r="Q161" s="5">
        <f>Data!R65*$C149</f>
        <v>0</v>
      </c>
      <c r="R161" s="5">
        <f>Data!S65*$C149</f>
        <v>0</v>
      </c>
      <c r="S161" s="5">
        <f>Data!T65*$C149</f>
        <v>0</v>
      </c>
      <c r="T161" s="5">
        <f>Data!U65*$C149</f>
        <v>0</v>
      </c>
      <c r="U161" s="5">
        <f>Data!V65*$C149</f>
        <v>0</v>
      </c>
      <c r="V161" s="5">
        <f>Data!W65*$C149</f>
        <v>0</v>
      </c>
      <c r="W161" s="5">
        <f>Data!X65*$C149</f>
        <v>0</v>
      </c>
      <c r="X161" s="5">
        <f>Data!Y65*$C149</f>
        <v>0</v>
      </c>
      <c r="Y161" s="5">
        <f>Data!Z65*$C149</f>
        <v>0</v>
      </c>
      <c r="Z161" s="5">
        <f>Data!AA65*$C149</f>
        <v>0</v>
      </c>
      <c r="AA161" s="5">
        <f>Data!AB65*$C149</f>
        <v>0</v>
      </c>
      <c r="AB161" s="5">
        <f>Data!AC65*$C149</f>
        <v>0</v>
      </c>
      <c r="AC161" s="5">
        <f>Data!AD65*$C149</f>
        <v>0</v>
      </c>
      <c r="AD161" s="5">
        <f>Data!AE65*$C149</f>
        <v>0</v>
      </c>
      <c r="AE161" s="5">
        <f>Data!AF65*$C149</f>
        <v>0</v>
      </c>
      <c r="AF161" s="5">
        <f>Data!AG65*$C149</f>
        <v>0</v>
      </c>
      <c r="AG161" s="5">
        <f>Data!AH65*$C149</f>
        <v>0</v>
      </c>
      <c r="AH161" s="5">
        <f>Data!AI65*$C149</f>
        <v>0</v>
      </c>
      <c r="AI161" s="5">
        <f>Data!AJ65*$C149</f>
        <v>0</v>
      </c>
    </row>
    <row r="162" spans="1:35">
      <c r="A162" s="142" t="s">
        <v>40</v>
      </c>
      <c r="B162" s="5">
        <f>Data!C66*$C150</f>
        <v>0</v>
      </c>
      <c r="C162" s="5">
        <f>Data!D66*$C150</f>
        <v>0</v>
      </c>
      <c r="D162" s="5">
        <f>Data!E66*$C150</f>
        <v>0</v>
      </c>
      <c r="E162" s="5">
        <f>Data!F66*$C150</f>
        <v>0</v>
      </c>
      <c r="F162" s="5">
        <f>Data!G66*$C150</f>
        <v>0</v>
      </c>
      <c r="G162" s="5">
        <f>Data!H66*$C150</f>
        <v>0</v>
      </c>
      <c r="H162" s="5">
        <f>Data!I66*$C150</f>
        <v>0</v>
      </c>
      <c r="I162" s="5">
        <f>Data!J66*$C150</f>
        <v>0</v>
      </c>
      <c r="J162" s="5">
        <f>Data!K66*$C150</f>
        <v>0</v>
      </c>
      <c r="K162" s="5">
        <f>Data!L66*$C150</f>
        <v>0</v>
      </c>
      <c r="L162" s="5">
        <f>Data!M66*$C150</f>
        <v>0</v>
      </c>
      <c r="M162" s="5">
        <f>Data!N66*$C150</f>
        <v>0</v>
      </c>
      <c r="N162" s="5">
        <f>Data!O66*$C150</f>
        <v>0</v>
      </c>
      <c r="O162" s="5">
        <f>Data!P66*$C150</f>
        <v>0</v>
      </c>
      <c r="P162" s="5">
        <f>Data!Q66*$C150</f>
        <v>0</v>
      </c>
      <c r="Q162" s="5">
        <f>Data!R66*$C150</f>
        <v>0</v>
      </c>
      <c r="R162" s="5">
        <f>Data!S66*$C150</f>
        <v>0</v>
      </c>
      <c r="S162" s="5">
        <f>Data!T66*$C150</f>
        <v>0</v>
      </c>
      <c r="T162" s="5">
        <f>Data!U66*$C150</f>
        <v>0</v>
      </c>
      <c r="U162" s="5">
        <f>Data!V66*$C150</f>
        <v>0</v>
      </c>
      <c r="V162" s="5">
        <f>Data!W66*$C150</f>
        <v>0</v>
      </c>
      <c r="W162" s="5">
        <f>Data!X66*$C150</f>
        <v>0</v>
      </c>
      <c r="X162" s="5">
        <f>Data!Y66*$C150</f>
        <v>0</v>
      </c>
      <c r="Y162" s="5">
        <f>Data!Z66*$C150</f>
        <v>0</v>
      </c>
      <c r="Z162" s="5">
        <f>Data!AA66*$C150</f>
        <v>0</v>
      </c>
      <c r="AA162" s="5">
        <f>Data!AB66*$C150</f>
        <v>0</v>
      </c>
      <c r="AB162" s="5">
        <f>Data!AC66*$C150</f>
        <v>0</v>
      </c>
      <c r="AC162" s="5">
        <f>Data!AD66*$C150</f>
        <v>0</v>
      </c>
      <c r="AD162" s="5">
        <f>Data!AE66*$C150</f>
        <v>0</v>
      </c>
      <c r="AE162" s="5">
        <f>Data!AF66*$C150</f>
        <v>0</v>
      </c>
      <c r="AF162" s="5">
        <f>Data!AG66*$C150</f>
        <v>0</v>
      </c>
      <c r="AG162" s="5">
        <f>Data!AH66*$C150</f>
        <v>0</v>
      </c>
      <c r="AH162" s="5">
        <f>Data!AI66*$C150</f>
        <v>0</v>
      </c>
      <c r="AI162" s="5">
        <f>Data!AJ66*$C150</f>
        <v>0</v>
      </c>
    </row>
    <row r="163" spans="1:35">
      <c r="A163" s="142" t="s">
        <v>41</v>
      </c>
      <c r="B163" s="5">
        <f>Data!C67*$C151</f>
        <v>0</v>
      </c>
      <c r="C163" s="5">
        <f>Data!D67*$C151</f>
        <v>0</v>
      </c>
      <c r="D163" s="5">
        <f>Data!E67*$C151</f>
        <v>0</v>
      </c>
      <c r="E163" s="5">
        <f>Data!F67*$C151</f>
        <v>0</v>
      </c>
      <c r="F163" s="5">
        <f>Data!G67*$C151</f>
        <v>0</v>
      </c>
      <c r="G163" s="5">
        <f>Data!H67*$C151</f>
        <v>0</v>
      </c>
      <c r="H163" s="5">
        <f>Data!I67*$C151</f>
        <v>0</v>
      </c>
      <c r="I163" s="5">
        <f>Data!J67*$C151</f>
        <v>0</v>
      </c>
      <c r="J163" s="5">
        <f>Data!K67*$C151</f>
        <v>0</v>
      </c>
      <c r="K163" s="5">
        <f>Data!L67*$C151</f>
        <v>0</v>
      </c>
      <c r="L163" s="5">
        <f>Data!M67*$C151</f>
        <v>0</v>
      </c>
      <c r="M163" s="5">
        <f>Data!N67*$C151</f>
        <v>0</v>
      </c>
      <c r="N163" s="5">
        <f>Data!O67*$C151</f>
        <v>0</v>
      </c>
      <c r="O163" s="5">
        <f>Data!P67*$C151</f>
        <v>0</v>
      </c>
      <c r="P163" s="5">
        <f>Data!Q67*$C151</f>
        <v>0</v>
      </c>
      <c r="Q163" s="5">
        <f>Data!R67*$C151</f>
        <v>0</v>
      </c>
      <c r="R163" s="5">
        <f>Data!S67*$C151</f>
        <v>0</v>
      </c>
      <c r="S163" s="5">
        <f>Data!T67*$C151</f>
        <v>0</v>
      </c>
      <c r="T163" s="5">
        <f>Data!U67*$C151</f>
        <v>0</v>
      </c>
      <c r="U163" s="5">
        <f>Data!V67*$C151</f>
        <v>0</v>
      </c>
      <c r="V163" s="5">
        <f>Data!W67*$C151</f>
        <v>0</v>
      </c>
      <c r="W163" s="5">
        <f>Data!X67*$C151</f>
        <v>0</v>
      </c>
      <c r="X163" s="5">
        <f>Data!Y67*$C151</f>
        <v>0</v>
      </c>
      <c r="Y163" s="5">
        <f>Data!Z67*$C151</f>
        <v>0</v>
      </c>
      <c r="Z163" s="5">
        <f>Data!AA67*$C151</f>
        <v>0</v>
      </c>
      <c r="AA163" s="5">
        <f>Data!AB67*$C151</f>
        <v>0</v>
      </c>
      <c r="AB163" s="5">
        <f>Data!AC67*$C151</f>
        <v>0</v>
      </c>
      <c r="AC163" s="5">
        <f>Data!AD67*$C151</f>
        <v>0</v>
      </c>
      <c r="AD163" s="5">
        <f>Data!AE67*$C151</f>
        <v>0</v>
      </c>
      <c r="AE163" s="5">
        <f>Data!AF67*$C151</f>
        <v>0</v>
      </c>
      <c r="AF163" s="5">
        <f>Data!AG67*$C151</f>
        <v>0</v>
      </c>
      <c r="AG163" s="5">
        <f>Data!AH67*$C151</f>
        <v>0</v>
      </c>
      <c r="AH163" s="5">
        <f>Data!AI67*$C151</f>
        <v>0</v>
      </c>
      <c r="AI163" s="5">
        <f>Data!AJ67*$C151</f>
        <v>0</v>
      </c>
    </row>
    <row r="164" spans="1:35">
      <c r="A164" s="142" t="s">
        <v>42</v>
      </c>
      <c r="B164" s="5">
        <f>Data!C68*$C152</f>
        <v>0</v>
      </c>
      <c r="C164" s="5">
        <f>Data!D68*$C152</f>
        <v>0</v>
      </c>
      <c r="D164" s="5">
        <f>Data!E68*$C152</f>
        <v>0</v>
      </c>
      <c r="E164" s="5">
        <f>Data!F68*$C152</f>
        <v>0</v>
      </c>
      <c r="F164" s="5">
        <f>Data!G68*$C152</f>
        <v>0</v>
      </c>
      <c r="G164" s="5">
        <f>Data!H68*$C152</f>
        <v>0</v>
      </c>
      <c r="H164" s="5">
        <f>Data!I68*$C152</f>
        <v>0</v>
      </c>
      <c r="I164" s="5">
        <f>Data!J68*$C152</f>
        <v>0</v>
      </c>
      <c r="J164" s="5">
        <f>Data!K68*$C152</f>
        <v>0</v>
      </c>
      <c r="K164" s="5">
        <f>Data!L68*$C152</f>
        <v>0</v>
      </c>
      <c r="L164" s="5">
        <f>Data!M68*$C152</f>
        <v>0</v>
      </c>
      <c r="M164" s="5">
        <f>Data!N68*$C152</f>
        <v>0</v>
      </c>
      <c r="N164" s="5">
        <f>Data!O68*$C152</f>
        <v>0</v>
      </c>
      <c r="O164" s="5">
        <f>Data!P68*$C152</f>
        <v>0</v>
      </c>
      <c r="P164" s="5">
        <f>Data!Q68*$C152</f>
        <v>0</v>
      </c>
      <c r="Q164" s="5">
        <f>Data!R68*$C152</f>
        <v>0</v>
      </c>
      <c r="R164" s="5">
        <f>Data!S68*$C152</f>
        <v>0</v>
      </c>
      <c r="S164" s="5">
        <f>Data!T68*$C152</f>
        <v>0</v>
      </c>
      <c r="T164" s="5">
        <f>Data!U68*$C152</f>
        <v>0</v>
      </c>
      <c r="U164" s="5">
        <f>Data!V68*$C152</f>
        <v>0</v>
      </c>
      <c r="V164" s="5">
        <f>Data!W68*$C152</f>
        <v>0</v>
      </c>
      <c r="W164" s="5">
        <f>Data!X68*$C152</f>
        <v>0</v>
      </c>
      <c r="X164" s="5">
        <f>Data!Y68*$C152</f>
        <v>0</v>
      </c>
      <c r="Y164" s="5">
        <f>Data!Z68*$C152</f>
        <v>0</v>
      </c>
      <c r="Z164" s="5">
        <f>Data!AA68*$C152</f>
        <v>0</v>
      </c>
      <c r="AA164" s="5">
        <f>Data!AB68*$C152</f>
        <v>0</v>
      </c>
      <c r="AB164" s="5">
        <f>Data!AC68*$C152</f>
        <v>0</v>
      </c>
      <c r="AC164" s="5">
        <f>Data!AD68*$C152</f>
        <v>0</v>
      </c>
      <c r="AD164" s="5">
        <f>Data!AE68*$C152</f>
        <v>0</v>
      </c>
      <c r="AE164" s="5">
        <f>Data!AF68*$C152</f>
        <v>0</v>
      </c>
      <c r="AF164" s="5">
        <f>Data!AG68*$C152</f>
        <v>0</v>
      </c>
      <c r="AG164" s="5">
        <f>Data!AH68*$C152</f>
        <v>0</v>
      </c>
      <c r="AH164" s="5">
        <f>Data!AI68*$C152</f>
        <v>0</v>
      </c>
      <c r="AI164" s="5">
        <f>Data!AJ68*$C152</f>
        <v>0</v>
      </c>
    </row>
    <row r="165" spans="1:35">
      <c r="A165" s="142" t="s">
        <v>43</v>
      </c>
      <c r="B165" s="5">
        <f>Data!C70*$C153</f>
        <v>126.96660624019023</v>
      </c>
      <c r="C165" s="5">
        <f>Data!D70*$C153</f>
        <v>136.74749760113434</v>
      </c>
      <c r="D165" s="5">
        <f>Data!E70*$C153</f>
        <v>145.23369387440221</v>
      </c>
      <c r="E165" s="5">
        <f>Data!F70*$C153</f>
        <v>147.86711589143187</v>
      </c>
      <c r="F165" s="5">
        <f>Data!G70*$C153</f>
        <v>149.64970362694061</v>
      </c>
      <c r="G165" s="5">
        <f>Data!H70*$C153</f>
        <v>150.64894545174417</v>
      </c>
      <c r="H165" s="5">
        <f>Data!I70*$C153</f>
        <v>151.00345352791899</v>
      </c>
      <c r="I165" s="5">
        <f>Data!J70*$C153</f>
        <v>151.42330270815958</v>
      </c>
      <c r="J165" s="5">
        <f>Data!K70*$C153</f>
        <v>151.96933908281068</v>
      </c>
      <c r="K165" s="5">
        <f>Data!L70*$C153</f>
        <v>152.85968993829292</v>
      </c>
      <c r="L165" s="5">
        <f>Data!M70*$C153</f>
        <v>152.8895789989042</v>
      </c>
      <c r="M165" s="5">
        <f>Data!N70*$C153</f>
        <v>152.79239003261634</v>
      </c>
      <c r="N165" s="5">
        <f>Data!O70*$C153</f>
        <v>152.53735447483507</v>
      </c>
      <c r="O165" s="5">
        <f>Data!P70*$C153</f>
        <v>152.21497713023518</v>
      </c>
      <c r="P165" s="5">
        <f>Data!Q70*$C153</f>
        <v>152.19679041594543</v>
      </c>
      <c r="Q165" s="5">
        <f>Data!R70*$C153</f>
        <v>151.84734206233313</v>
      </c>
      <c r="R165" s="5">
        <f>Data!S70*$C153</f>
        <v>151.62408124641939</v>
      </c>
      <c r="S165" s="5">
        <f>Data!T70*$C153</f>
        <v>151.52578208657926</v>
      </c>
      <c r="T165" s="5">
        <f>Data!U70*$C153</f>
        <v>151.4231351835914</v>
      </c>
      <c r="U165" s="5">
        <f>Data!V70*$C153</f>
        <v>151.49151404360771</v>
      </c>
      <c r="V165" s="5">
        <f>Data!W70*$C153</f>
        <v>151.54437731364797</v>
      </c>
      <c r="W165" s="5">
        <f>Data!X70*$C153</f>
        <v>151.77771638012075</v>
      </c>
      <c r="X165" s="5">
        <f>Data!Y70*$C153</f>
        <v>151.95196905079086</v>
      </c>
      <c r="Y165" s="5">
        <f>Data!Z70*$C153</f>
        <v>152.14816984290974</v>
      </c>
      <c r="Z165" s="5">
        <f>Data!AA70*$C153</f>
        <v>152.32238028914972</v>
      </c>
      <c r="AA165" s="5">
        <f>Data!AB70*$C153</f>
        <v>152.42270175888984</v>
      </c>
      <c r="AB165" s="5">
        <f>Data!AC70*$C153</f>
        <v>152.35814644116954</v>
      </c>
      <c r="AC165" s="5">
        <f>Data!AD70*$C153</f>
        <v>152.50378845592491</v>
      </c>
      <c r="AD165" s="5">
        <f>Data!AE70*$C153</f>
        <v>152.54360883981005</v>
      </c>
      <c r="AE165" s="5">
        <f>Data!AF70*$C153</f>
        <v>152.69137752403248</v>
      </c>
      <c r="AF165" s="5">
        <f>Data!AG70*$C153</f>
        <v>152.81673705095548</v>
      </c>
      <c r="AG165" s="5">
        <f>Data!AH70*$C153</f>
        <v>152.98731242003868</v>
      </c>
      <c r="AH165" s="5">
        <f>Data!AI70*$C153</f>
        <v>152.95611405880632</v>
      </c>
      <c r="AI165" s="5">
        <f>Data!AJ70*$C153</f>
        <v>153.23558039721087</v>
      </c>
    </row>
    <row r="166" spans="1:35">
      <c r="A166" s="142" t="s">
        <v>105</v>
      </c>
      <c r="B166" s="5">
        <f>Data!C71*$C154</f>
        <v>1627.4532469999999</v>
      </c>
      <c r="C166" s="5">
        <f>Data!D71*$C154</f>
        <v>1807.0036620000001</v>
      </c>
      <c r="D166" s="5">
        <f>Data!E71*$C154</f>
        <v>1939.764038</v>
      </c>
      <c r="E166" s="5">
        <f>Data!F71*$C154</f>
        <v>2025.343384</v>
      </c>
      <c r="F166" s="5">
        <f>Data!G71*$C154</f>
        <v>2070.8859859999998</v>
      </c>
      <c r="G166" s="5">
        <f>Data!H71*$C154</f>
        <v>2108.9038089999999</v>
      </c>
      <c r="H166" s="5">
        <f>Data!I71*$C154</f>
        <v>2138.9731449999999</v>
      </c>
      <c r="I166" s="5">
        <f>Data!J71*$C154</f>
        <v>2171.8625489999999</v>
      </c>
      <c r="J166" s="5">
        <f>Data!K71*$C154</f>
        <v>2202.2778320000002</v>
      </c>
      <c r="K166" s="5">
        <f>Data!L71*$C154</f>
        <v>2256.0815429999998</v>
      </c>
      <c r="L166" s="5">
        <f>Data!M71*$C154</f>
        <v>2275.3491210000002</v>
      </c>
      <c r="M166" s="5">
        <f>Data!N71*$C154</f>
        <v>2291.0998540000001</v>
      </c>
      <c r="N166" s="5">
        <f>Data!O71*$C154</f>
        <v>2297.4602049999999</v>
      </c>
      <c r="O166" s="5">
        <f>Data!P71*$C154</f>
        <v>2302.0871579999998</v>
      </c>
      <c r="P166" s="5">
        <f>Data!Q71*$C154</f>
        <v>2319.1972660000001</v>
      </c>
      <c r="Q166" s="5">
        <f>Data!R71*$C154</f>
        <v>2334.9399410000001</v>
      </c>
      <c r="R166" s="5">
        <f>Data!S71*$C154</f>
        <v>2340.8569339999999</v>
      </c>
      <c r="S166" s="5">
        <f>Data!T71*$C154</f>
        <v>2356.2148440000001</v>
      </c>
      <c r="T166" s="5">
        <f>Data!U71*$C154</f>
        <v>2366.6057129999999</v>
      </c>
      <c r="U166" s="5">
        <f>Data!V71*$C154</f>
        <v>2387.185547</v>
      </c>
      <c r="V166" s="5">
        <f>Data!W71*$C154</f>
        <v>2399.076904</v>
      </c>
      <c r="W166" s="5">
        <f>Data!X71*$C154</f>
        <v>2419.9704590000001</v>
      </c>
      <c r="X166" s="5">
        <f>Data!Y71*$C154</f>
        <v>2434.2619629999999</v>
      </c>
      <c r="Y166" s="5">
        <f>Data!Z71*$C154</f>
        <v>2456.3239749999998</v>
      </c>
      <c r="Z166" s="5">
        <f>Data!AA71*$C154</f>
        <v>2452.2963869999999</v>
      </c>
      <c r="AA166" s="5">
        <f>Data!AB71*$C154</f>
        <v>2454.414307</v>
      </c>
      <c r="AB166" s="5">
        <f>Data!AC71*$C154</f>
        <v>2445.9584960000002</v>
      </c>
      <c r="AC166" s="5">
        <f>Data!AD71*$C154</f>
        <v>2447.3666990000002</v>
      </c>
      <c r="AD166" s="5">
        <f>Data!AE71*$C154</f>
        <v>2441.6447750000002</v>
      </c>
      <c r="AE166" s="5">
        <f>Data!AF71*$C154</f>
        <v>2438.391357</v>
      </c>
      <c r="AF166" s="5">
        <f>Data!AG71*$C154</f>
        <v>2429.4794919999999</v>
      </c>
      <c r="AG166" s="5">
        <f>Data!AH71*$C154</f>
        <v>2430.6076659999999</v>
      </c>
      <c r="AH166" s="5">
        <f>Data!AI71*$C154</f>
        <v>2420.4106449999999</v>
      </c>
      <c r="AI166" s="5">
        <f>Data!AJ71*$C154</f>
        <v>2421.1447750000002</v>
      </c>
    </row>
    <row r="167" spans="1:35">
      <c r="A167" s="142" t="s">
        <v>44</v>
      </c>
      <c r="B167" s="5">
        <f>Data!C72*$C155</f>
        <v>0</v>
      </c>
      <c r="C167" s="5">
        <f>Data!D72*$C155</f>
        <v>0</v>
      </c>
      <c r="D167" s="5">
        <f>Data!E72*$C155</f>
        <v>0</v>
      </c>
      <c r="E167" s="5">
        <f>Data!F72*$C155</f>
        <v>0</v>
      </c>
      <c r="F167" s="5">
        <f>Data!G72*$C155</f>
        <v>0</v>
      </c>
      <c r="G167" s="5">
        <f>Data!H72*$C155</f>
        <v>0</v>
      </c>
      <c r="H167" s="5">
        <f>Data!I72*$C155</f>
        <v>0</v>
      </c>
      <c r="I167" s="5">
        <f>Data!J72*$C155</f>
        <v>0</v>
      </c>
      <c r="J167" s="5">
        <f>Data!K72*$C155</f>
        <v>0</v>
      </c>
      <c r="K167" s="5">
        <f>Data!L72*$C155</f>
        <v>0</v>
      </c>
      <c r="L167" s="5">
        <f>Data!M72*$C155</f>
        <v>0</v>
      </c>
      <c r="M167" s="5">
        <f>Data!N72*$C155</f>
        <v>0</v>
      </c>
      <c r="N167" s="5">
        <f>Data!O72*$C155</f>
        <v>0</v>
      </c>
      <c r="O167" s="5">
        <f>Data!P72*$C155</f>
        <v>0</v>
      </c>
      <c r="P167" s="5">
        <f>Data!Q72*$C155</f>
        <v>0</v>
      </c>
      <c r="Q167" s="5">
        <f>Data!R72*$C155</f>
        <v>0</v>
      </c>
      <c r="R167" s="5">
        <f>Data!S72*$C155</f>
        <v>0</v>
      </c>
      <c r="S167" s="5">
        <f>Data!T72*$C155</f>
        <v>0</v>
      </c>
      <c r="T167" s="5">
        <f>Data!U72*$C155</f>
        <v>0</v>
      </c>
      <c r="U167" s="5">
        <f>Data!V72*$C155</f>
        <v>0</v>
      </c>
      <c r="V167" s="5">
        <f>Data!W72*$C155</f>
        <v>0</v>
      </c>
      <c r="W167" s="5">
        <f>Data!X72*$C155</f>
        <v>0</v>
      </c>
      <c r="X167" s="5">
        <f>Data!Y72*$C155</f>
        <v>0</v>
      </c>
      <c r="Y167" s="5">
        <f>Data!Z72*$C155</f>
        <v>0</v>
      </c>
      <c r="Z167" s="5">
        <f>Data!AA72*$C155</f>
        <v>0</v>
      </c>
      <c r="AA167" s="5">
        <f>Data!AB72*$C155</f>
        <v>0</v>
      </c>
      <c r="AB167" s="5">
        <f>Data!AC72*$C155</f>
        <v>0</v>
      </c>
      <c r="AC167" s="5">
        <f>Data!AD72*$C155</f>
        <v>0</v>
      </c>
      <c r="AD167" s="5">
        <f>Data!AE72*$C155</f>
        <v>0</v>
      </c>
      <c r="AE167" s="5">
        <f>Data!AF72*$C155</f>
        <v>0</v>
      </c>
      <c r="AF167" s="5">
        <f>Data!AG72*$C155</f>
        <v>0</v>
      </c>
      <c r="AG167" s="5">
        <f>Data!AH72*$C155</f>
        <v>0</v>
      </c>
      <c r="AH167" s="5">
        <f>Data!AI72*$C155</f>
        <v>0</v>
      </c>
      <c r="AI167" s="5">
        <f>Data!AJ72*$C155</f>
        <v>0</v>
      </c>
    </row>
    <row r="168" spans="1:35">
      <c r="A168" s="142" t="s">
        <v>45</v>
      </c>
      <c r="B168" s="5">
        <f>Data!C73*$C156</f>
        <v>0.56235217660460279</v>
      </c>
      <c r="C168" s="5">
        <f>Data!D73*$C156</f>
        <v>0.61526265457873641</v>
      </c>
      <c r="D168" s="5">
        <f>Data!E73*$C156</f>
        <v>0.71565334288050775</v>
      </c>
      <c r="E168" s="5">
        <f>Data!F73*$C156</f>
        <v>0.75874367404373066</v>
      </c>
      <c r="F168" s="5">
        <f>Data!G73*$C156</f>
        <v>0.79374489694137385</v>
      </c>
      <c r="G168" s="5">
        <f>Data!H73*$C156</f>
        <v>0.81401126106262789</v>
      </c>
      <c r="H168" s="5">
        <f>Data!I73*$C156</f>
        <v>0.82649132932214242</v>
      </c>
      <c r="I168" s="5">
        <f>Data!J73*$C156</f>
        <v>0.84200879874010393</v>
      </c>
      <c r="J168" s="5">
        <f>Data!K73*$C156</f>
        <v>0.85988148575116929</v>
      </c>
      <c r="K168" s="5">
        <f>Data!L73*$C156</f>
        <v>0.8806299899074489</v>
      </c>
      <c r="L168" s="5">
        <f>Data!M73*$C156</f>
        <v>0.89040330077249497</v>
      </c>
      <c r="M168" s="5">
        <f>Data!N73*$C156</f>
        <v>0.89694186902257589</v>
      </c>
      <c r="N168" s="5">
        <f>Data!O73*$C156</f>
        <v>0.90246950139499416</v>
      </c>
      <c r="O168" s="5">
        <f>Data!P73*$C156</f>
        <v>0.90376091253308444</v>
      </c>
      <c r="P168" s="5">
        <f>Data!Q73*$C156</f>
        <v>0.90919226100910033</v>
      </c>
      <c r="Q168" s="5">
        <f>Data!R73*$C156</f>
        <v>0.91034442527736992</v>
      </c>
      <c r="R168" s="5">
        <f>Data!S73*$C156</f>
        <v>0.91146371431440765</v>
      </c>
      <c r="S168" s="5">
        <f>Data!T73*$C156</f>
        <v>0.91286708137693962</v>
      </c>
      <c r="T168" s="5">
        <f>Data!U73*$C156</f>
        <v>0.9119708034975188</v>
      </c>
      <c r="U168" s="5">
        <f>Data!V73*$C156</f>
        <v>0.91276188063699748</v>
      </c>
      <c r="V168" s="5">
        <f>Data!W73*$C156</f>
        <v>0.91280664499294906</v>
      </c>
      <c r="W168" s="5">
        <f>Data!X73*$C156</f>
        <v>0.91509025763035567</v>
      </c>
      <c r="X168" s="5">
        <f>Data!Y73*$C156</f>
        <v>0.91601670866720863</v>
      </c>
      <c r="Y168" s="5">
        <f>Data!Z73*$C156</f>
        <v>0.91665764057254051</v>
      </c>
      <c r="Z168" s="5">
        <f>Data!AA73*$C156</f>
        <v>0.91633384206218815</v>
      </c>
      <c r="AA168" s="5">
        <f>Data!AB73*$C156</f>
        <v>0.91496109850272134</v>
      </c>
      <c r="AB168" s="5">
        <f>Data!AC73*$C156</f>
        <v>0.9101465434060918</v>
      </c>
      <c r="AC168" s="5">
        <f>Data!AD73*$C156</f>
        <v>0.90829625333705932</v>
      </c>
      <c r="AD168" s="5">
        <f>Data!AE73*$C156</f>
        <v>0.9042645790893824</v>
      </c>
      <c r="AE168" s="5">
        <f>Data!AF73*$C156</f>
        <v>0.90194331755703061</v>
      </c>
      <c r="AF168" s="5">
        <f>Data!AG73*$C156</f>
        <v>0.89890843833412992</v>
      </c>
      <c r="AG168" s="5">
        <f>Data!AH73*$C156</f>
        <v>0.89604424010625505</v>
      </c>
      <c r="AH168" s="5">
        <f>Data!AI73*$C156</f>
        <v>0.89040456174026816</v>
      </c>
      <c r="AI168" s="5">
        <f>Data!AJ73*$C156</f>
        <v>0.88835981242677098</v>
      </c>
    </row>
    <row r="169" spans="1:35">
      <c r="A169" s="142" t="s">
        <v>49</v>
      </c>
      <c r="B169" s="5">
        <f>Data!C74*$C157</f>
        <v>34.408047354581221</v>
      </c>
      <c r="C169" s="5">
        <f>Data!D74*$C157</f>
        <v>35.136711723222916</v>
      </c>
      <c r="D169" s="5">
        <f>Data!E74*$C157</f>
        <v>37.955852330069916</v>
      </c>
      <c r="E169" s="5">
        <f>Data!F74*$C157</f>
        <v>39.370727614984723</v>
      </c>
      <c r="F169" s="5">
        <f>Data!G74*$C157</f>
        <v>40.452736319943739</v>
      </c>
      <c r="G169" s="5">
        <f>Data!H74*$C157</f>
        <v>41.214442727839916</v>
      </c>
      <c r="H169" s="5">
        <f>Data!I74*$C157</f>
        <v>41.702384925935995</v>
      </c>
      <c r="I169" s="5">
        <f>Data!J74*$C157</f>
        <v>42.256411202541017</v>
      </c>
      <c r="J169" s="5">
        <f>Data!K74*$C157</f>
        <v>42.834909170791178</v>
      </c>
      <c r="K169" s="5">
        <f>Data!L74*$C157</f>
        <v>43.36904863457471</v>
      </c>
      <c r="L169" s="5">
        <f>Data!M74*$C157</f>
        <v>43.497470276199955</v>
      </c>
      <c r="M169" s="5">
        <f>Data!N74*$C157</f>
        <v>43.549090694072895</v>
      </c>
      <c r="N169" s="5">
        <f>Data!O74*$C157</f>
        <v>43.670956654313983</v>
      </c>
      <c r="O169" s="5">
        <f>Data!P74*$C157</f>
        <v>43.490925583249258</v>
      </c>
      <c r="P169" s="5">
        <f>Data!Q74*$C157</f>
        <v>43.424995522946901</v>
      </c>
      <c r="Q169" s="5">
        <f>Data!R74*$C157</f>
        <v>43.20272806610884</v>
      </c>
      <c r="R169" s="5">
        <f>Data!S74*$C157</f>
        <v>43.077731303024947</v>
      </c>
      <c r="S169" s="5">
        <f>Data!T74*$C157</f>
        <v>42.949655977191725</v>
      </c>
      <c r="T169" s="5">
        <f>Data!U74*$C157</f>
        <v>42.881230101389548</v>
      </c>
      <c r="U169" s="5">
        <f>Data!V74*$C157</f>
        <v>42.87724445246559</v>
      </c>
      <c r="V169" s="5">
        <f>Data!W74*$C157</f>
        <v>42.861216831514213</v>
      </c>
      <c r="W169" s="5">
        <f>Data!X74*$C157</f>
        <v>42.918246711065393</v>
      </c>
      <c r="X169" s="5">
        <f>Data!Y74*$C157</f>
        <v>42.943163614403623</v>
      </c>
      <c r="Y169" s="5">
        <f>Data!Z74*$C157</f>
        <v>42.920181756182615</v>
      </c>
      <c r="Z169" s="5">
        <f>Data!AA74*$C157</f>
        <v>42.890102811057091</v>
      </c>
      <c r="AA169" s="5">
        <f>Data!AB74*$C157</f>
        <v>42.821154714458515</v>
      </c>
      <c r="AB169" s="5">
        <f>Data!AC74*$C157</f>
        <v>42.685789823997105</v>
      </c>
      <c r="AC169" s="5">
        <f>Data!AD74*$C157</f>
        <v>42.651882040297146</v>
      </c>
      <c r="AD169" s="5">
        <f>Data!AE74*$C157</f>
        <v>42.60289758548511</v>
      </c>
      <c r="AE169" s="5">
        <f>Data!AF74*$C157</f>
        <v>42.554146769987639</v>
      </c>
      <c r="AF169" s="5">
        <f>Data!AG74*$C157</f>
        <v>42.512600313724541</v>
      </c>
      <c r="AG169" s="5">
        <f>Data!AH74*$C157</f>
        <v>42.509568496851948</v>
      </c>
      <c r="AH169" s="5">
        <f>Data!AI74*$C157</f>
        <v>42.436351573995204</v>
      </c>
      <c r="AI169" s="5">
        <f>Data!AJ74*$C157</f>
        <v>42.468830140793273</v>
      </c>
    </row>
    <row r="170" spans="1:35">
      <c r="B170" s="96"/>
    </row>
    <row r="171" spans="1:35">
      <c r="A171" s="111" t="s">
        <v>576</v>
      </c>
      <c r="B171" s="109"/>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spans="1:35">
      <c r="B172" s="5">
        <v>2017</v>
      </c>
      <c r="C172" s="5">
        <v>2018</v>
      </c>
      <c r="D172" s="5">
        <v>2019</v>
      </c>
      <c r="E172" s="5">
        <v>2020</v>
      </c>
      <c r="F172" s="5">
        <v>2021</v>
      </c>
      <c r="G172" s="5">
        <v>2022</v>
      </c>
      <c r="H172" s="5">
        <v>2023</v>
      </c>
      <c r="I172" s="5">
        <v>2024</v>
      </c>
      <c r="J172" s="5">
        <v>2025</v>
      </c>
      <c r="K172" s="5">
        <v>2026</v>
      </c>
      <c r="L172" s="5">
        <v>2027</v>
      </c>
      <c r="M172" s="5">
        <v>2028</v>
      </c>
      <c r="N172" s="5">
        <v>2029</v>
      </c>
      <c r="O172" s="5">
        <v>2030</v>
      </c>
      <c r="P172" s="5">
        <v>2031</v>
      </c>
      <c r="Q172" s="5">
        <v>2032</v>
      </c>
      <c r="R172" s="5">
        <v>2033</v>
      </c>
      <c r="S172" s="5">
        <v>2034</v>
      </c>
      <c r="T172" s="5">
        <v>2035</v>
      </c>
      <c r="U172" s="5">
        <v>2036</v>
      </c>
      <c r="V172" s="5">
        <v>2037</v>
      </c>
      <c r="W172" s="5">
        <v>2038</v>
      </c>
      <c r="X172" s="5">
        <v>2039</v>
      </c>
      <c r="Y172" s="5">
        <v>2040</v>
      </c>
      <c r="Z172" s="5">
        <v>2041</v>
      </c>
      <c r="AA172" s="5">
        <v>2042</v>
      </c>
      <c r="AB172" s="5">
        <v>2043</v>
      </c>
      <c r="AC172" s="5">
        <v>2044</v>
      </c>
      <c r="AD172" s="5">
        <v>2045</v>
      </c>
      <c r="AE172" s="5">
        <v>2046</v>
      </c>
      <c r="AF172" s="5">
        <v>2047</v>
      </c>
      <c r="AG172" s="5">
        <v>2048</v>
      </c>
      <c r="AH172" s="5">
        <v>2049</v>
      </c>
      <c r="AI172" s="5">
        <v>2050</v>
      </c>
    </row>
    <row r="173" spans="1:35">
      <c r="A173" s="142" t="s">
        <v>39</v>
      </c>
      <c r="B173" s="5">
        <f>Data!C65*$D149</f>
        <v>9.337379738584227</v>
      </c>
      <c r="C173" s="5">
        <f>Data!D65*$D149</f>
        <v>9.0100976941873068</v>
      </c>
      <c r="D173" s="5">
        <f>Data!E65*$D149</f>
        <v>9.5094898055996815</v>
      </c>
      <c r="E173" s="5">
        <f>Data!F65*$D149</f>
        <v>10.067730581562362</v>
      </c>
      <c r="F173" s="5">
        <f>Data!G65*$D149</f>
        <v>10.543764250982901</v>
      </c>
      <c r="G173" s="5">
        <f>Data!H65*$D149</f>
        <v>10.852839493736672</v>
      </c>
      <c r="H173" s="5">
        <f>Data!I65*$D149</f>
        <v>11.081434052232034</v>
      </c>
      <c r="I173" s="5">
        <f>Data!J65*$D149</f>
        <v>11.337636383401319</v>
      </c>
      <c r="J173" s="5">
        <f>Data!K65*$D149</f>
        <v>11.606666308403746</v>
      </c>
      <c r="K173" s="5">
        <f>Data!L65*$D149</f>
        <v>11.862021114665637</v>
      </c>
      <c r="L173" s="5">
        <f>Data!M65*$D149</f>
        <v>12.007353842942674</v>
      </c>
      <c r="M173" s="5">
        <f>Data!N65*$D149</f>
        <v>12.130646475292382</v>
      </c>
      <c r="N173" s="5">
        <f>Data!O65*$D149</f>
        <v>12.276204429801712</v>
      </c>
      <c r="O173" s="5">
        <f>Data!P65*$D149</f>
        <v>12.317296276927653</v>
      </c>
      <c r="P173" s="5">
        <f>Data!Q65*$D149</f>
        <v>12.394487534404611</v>
      </c>
      <c r="Q173" s="5">
        <f>Data!R65*$D149</f>
        <v>12.412481050083498</v>
      </c>
      <c r="R173" s="5">
        <f>Data!S65*$D149</f>
        <v>12.454900139944243</v>
      </c>
      <c r="S173" s="5">
        <f>Data!T65*$D149</f>
        <v>12.490754891862052</v>
      </c>
      <c r="T173" s="5">
        <f>Data!U65*$D149</f>
        <v>12.533403422167341</v>
      </c>
      <c r="U173" s="5">
        <f>Data!V65*$D149</f>
        <v>12.59151342895996</v>
      </c>
      <c r="V173" s="5">
        <f>Data!W65*$D149</f>
        <v>12.635237285756865</v>
      </c>
      <c r="W173" s="5">
        <f>Data!X65*$D149</f>
        <v>12.704422944702513</v>
      </c>
      <c r="X173" s="5">
        <f>Data!Y65*$D149</f>
        <v>12.754531567176068</v>
      </c>
      <c r="Y173" s="5">
        <f>Data!Z65*$D149</f>
        <v>12.801197412366973</v>
      </c>
      <c r="Z173" s="5">
        <f>Data!AA65*$D149</f>
        <v>12.841540768573317</v>
      </c>
      <c r="AA173" s="5">
        <f>Data!AB65*$D149</f>
        <v>12.86449464618947</v>
      </c>
      <c r="AB173" s="5">
        <f>Data!AC65*$D149</f>
        <v>12.85811339235636</v>
      </c>
      <c r="AC173" s="5">
        <f>Data!AD65*$D149</f>
        <v>12.884995852278045</v>
      </c>
      <c r="AD173" s="5">
        <f>Data!AE65*$D149</f>
        <v>12.901821094672986</v>
      </c>
      <c r="AE173" s="5">
        <f>Data!AF65*$D149</f>
        <v>12.918682157872025</v>
      </c>
      <c r="AF173" s="5">
        <f>Data!AG65*$D149</f>
        <v>12.935125077567028</v>
      </c>
      <c r="AG173" s="5">
        <f>Data!AH65*$D149</f>
        <v>12.96204335829281</v>
      </c>
      <c r="AH173" s="5">
        <f>Data!AI65*$D149</f>
        <v>12.961730804217847</v>
      </c>
      <c r="AI173" s="5">
        <f>Data!AJ65*$D149</f>
        <v>12.997170222106453</v>
      </c>
    </row>
    <row r="174" spans="1:35">
      <c r="A174" s="142" t="s">
        <v>40</v>
      </c>
      <c r="B174" s="5">
        <f>Data!C66*$D150</f>
        <v>53.514645269971851</v>
      </c>
      <c r="C174" s="5">
        <f>Data!D66*$D150</f>
        <v>58.433684046684043</v>
      </c>
      <c r="D174" s="5">
        <f>Data!E66*$D150</f>
        <v>62.249005652120317</v>
      </c>
      <c r="E174" s="5">
        <f>Data!F66*$D150</f>
        <v>62.893622561151624</v>
      </c>
      <c r="F174" s="5">
        <f>Data!G66*$D150</f>
        <v>63.015513967929316</v>
      </c>
      <c r="G174" s="5">
        <f>Data!H66*$D150</f>
        <v>63.302623097592971</v>
      </c>
      <c r="H174" s="5">
        <f>Data!I66*$D150</f>
        <v>63.147629521863287</v>
      </c>
      <c r="I174" s="5">
        <f>Data!J66*$D150</f>
        <v>63.143256808411529</v>
      </c>
      <c r="J174" s="5">
        <f>Data!K66*$D150</f>
        <v>63.114856061466519</v>
      </c>
      <c r="K174" s="5">
        <f>Data!L66*$D150</f>
        <v>63.405580516992046</v>
      </c>
      <c r="L174" s="5">
        <f>Data!M66*$D150</f>
        <v>63.135033241457904</v>
      </c>
      <c r="M174" s="5">
        <f>Data!N66*$D150</f>
        <v>62.715329542401555</v>
      </c>
      <c r="N174" s="5">
        <f>Data!O66*$D150</f>
        <v>62.533664217362521</v>
      </c>
      <c r="O174" s="5">
        <f>Data!P66*$D150</f>
        <v>62.261687855630946</v>
      </c>
      <c r="P174" s="5">
        <f>Data!Q66*$D150</f>
        <v>62.076650224302945</v>
      </c>
      <c r="Q174" s="5">
        <f>Data!R66*$D150</f>
        <v>61.721164564444997</v>
      </c>
      <c r="R174" s="5">
        <f>Data!S66*$D150</f>
        <v>61.528896281393266</v>
      </c>
      <c r="S174" s="5">
        <f>Data!T66*$D150</f>
        <v>61.275367867894502</v>
      </c>
      <c r="T174" s="5">
        <f>Data!U66*$D150</f>
        <v>61.19474530515712</v>
      </c>
      <c r="U174" s="5">
        <f>Data!V66*$D150</f>
        <v>61.200561152180477</v>
      </c>
      <c r="V174" s="5">
        <f>Data!W66*$D150</f>
        <v>61.151433270545894</v>
      </c>
      <c r="W174" s="5">
        <f>Data!X66*$D150</f>
        <v>61.212235924841245</v>
      </c>
      <c r="X174" s="5">
        <f>Data!Y66*$D150</f>
        <v>61.247996091106401</v>
      </c>
      <c r="Y174" s="5">
        <f>Data!Z66*$D150</f>
        <v>61.220223964154854</v>
      </c>
      <c r="Z174" s="5">
        <f>Data!AA66*$D150</f>
        <v>61.23139841617278</v>
      </c>
      <c r="AA174" s="5">
        <f>Data!AB66*$D150</f>
        <v>61.154927086621292</v>
      </c>
      <c r="AB174" s="5">
        <f>Data!AC66*$D150</f>
        <v>60.977441557762276</v>
      </c>
      <c r="AC174" s="5">
        <f>Data!AD66*$D150</f>
        <v>60.973954765373946</v>
      </c>
      <c r="AD174" s="5">
        <f>Data!AE66*$D150</f>
        <v>60.973090149494666</v>
      </c>
      <c r="AE174" s="5">
        <f>Data!AF66*$D150</f>
        <v>60.891388748422131</v>
      </c>
      <c r="AF174" s="5">
        <f>Data!AG66*$D150</f>
        <v>60.837916482207007</v>
      </c>
      <c r="AG174" s="5">
        <f>Data!AH66*$D150</f>
        <v>60.876798911501155</v>
      </c>
      <c r="AH174" s="5">
        <f>Data!AI66*$D150</f>
        <v>60.792475099796661</v>
      </c>
      <c r="AI174" s="5">
        <f>Data!AJ66*$D150</f>
        <v>60.865395721407403</v>
      </c>
    </row>
    <row r="175" spans="1:35">
      <c r="A175" s="142" t="s">
        <v>41</v>
      </c>
      <c r="B175" s="5">
        <f>Data!C67*$D151</f>
        <v>15.384683707032245</v>
      </c>
      <c r="C175" s="5">
        <f>Data!D67*$D151</f>
        <v>16.260470760610364</v>
      </c>
      <c r="D175" s="5">
        <f>Data!E67*$D151</f>
        <v>17.865666312483672</v>
      </c>
      <c r="E175" s="5">
        <f>Data!F67*$D151</f>
        <v>18.495952324524286</v>
      </c>
      <c r="F175" s="5">
        <f>Data!G67*$D151</f>
        <v>18.923433118159011</v>
      </c>
      <c r="G175" s="5">
        <f>Data!H67*$D151</f>
        <v>19.169294943089412</v>
      </c>
      <c r="H175" s="5">
        <f>Data!I67*$D151</f>
        <v>19.271489590071834</v>
      </c>
      <c r="I175" s="5">
        <f>Data!J67*$D151</f>
        <v>19.407554797372576</v>
      </c>
      <c r="J175" s="5">
        <f>Data!K67*$D151</f>
        <v>19.556437531221651</v>
      </c>
      <c r="K175" s="5">
        <f>Data!L67*$D151</f>
        <v>19.772866127206601</v>
      </c>
      <c r="L175" s="5">
        <f>Data!M67*$D151</f>
        <v>19.790128242937783</v>
      </c>
      <c r="M175" s="5">
        <f>Data!N67*$D151</f>
        <v>19.762075636748929</v>
      </c>
      <c r="N175" s="5">
        <f>Data!O67*$D151</f>
        <v>19.749463201863271</v>
      </c>
      <c r="O175" s="5">
        <f>Data!P67*$D151</f>
        <v>19.662381656489117</v>
      </c>
      <c r="P175" s="5">
        <f>Data!Q67*$D151</f>
        <v>19.647223837406454</v>
      </c>
      <c r="Q175" s="5">
        <f>Data!R67*$D151</f>
        <v>19.537916302520316</v>
      </c>
      <c r="R175" s="5">
        <f>Data!S67*$D151</f>
        <v>19.453735539909307</v>
      </c>
      <c r="S175" s="5">
        <f>Data!T67*$D151</f>
        <v>19.391416237450944</v>
      </c>
      <c r="T175" s="5">
        <f>Data!U67*$D151</f>
        <v>19.32299709688839</v>
      </c>
      <c r="U175" s="5">
        <f>Data!V67*$D151</f>
        <v>19.290151994883431</v>
      </c>
      <c r="V175" s="5">
        <f>Data!W67*$D151</f>
        <v>19.237449758894936</v>
      </c>
      <c r="W175" s="5">
        <f>Data!X67*$D151</f>
        <v>19.24269949673981</v>
      </c>
      <c r="X175" s="5">
        <f>Data!Y67*$D151</f>
        <v>19.217867485199047</v>
      </c>
      <c r="Y175" s="5">
        <f>Data!Z67*$D151</f>
        <v>19.19400357186051</v>
      </c>
      <c r="Z175" s="5">
        <f>Data!AA67*$D151</f>
        <v>19.16450432025653</v>
      </c>
      <c r="AA175" s="5">
        <f>Data!AB67*$D151</f>
        <v>19.126138131962591</v>
      </c>
      <c r="AB175" s="5">
        <f>Data!AC67*$D151</f>
        <v>19.044167021306269</v>
      </c>
      <c r="AC175" s="5">
        <f>Data!AD67*$D151</f>
        <v>19.008344344226117</v>
      </c>
      <c r="AD175" s="5">
        <f>Data!AE67*$D151</f>
        <v>18.949243763432619</v>
      </c>
      <c r="AE175" s="5">
        <f>Data!AF67*$D151</f>
        <v>18.902573469906567</v>
      </c>
      <c r="AF175" s="5">
        <f>Data!AG67*$D151</f>
        <v>18.852586357219458</v>
      </c>
      <c r="AG175" s="5">
        <f>Data!AH67*$D151</f>
        <v>18.821156059914877</v>
      </c>
      <c r="AH175" s="5">
        <f>Data!AI67*$D151</f>
        <v>18.739443889188824</v>
      </c>
      <c r="AI175" s="5">
        <f>Data!AJ67*$D151</f>
        <v>18.721119089602766</v>
      </c>
    </row>
    <row r="176" spans="1:35">
      <c r="A176" s="142" t="s">
        <v>42</v>
      </c>
      <c r="B176" s="5">
        <f>Data!C68*$D152</f>
        <v>8.1996011968243749</v>
      </c>
      <c r="C176" s="5">
        <f>Data!D68*$D152</f>
        <v>9.9125859965605017</v>
      </c>
      <c r="D176" s="5">
        <f>Data!E68*$D152</f>
        <v>9.8002231577955055</v>
      </c>
      <c r="E176" s="5">
        <f>Data!F68*$D152</f>
        <v>9.81373134690649</v>
      </c>
      <c r="F176" s="5">
        <f>Data!G68*$D152</f>
        <v>9.7322228631056937</v>
      </c>
      <c r="G176" s="5">
        <f>Data!H68*$D152</f>
        <v>9.7349754460714948</v>
      </c>
      <c r="H176" s="5">
        <f>Data!I68*$D152</f>
        <v>9.6696087999129663</v>
      </c>
      <c r="I176" s="5">
        <f>Data!J68*$D152</f>
        <v>9.6276675548964139</v>
      </c>
      <c r="J176" s="5">
        <f>Data!K68*$D152</f>
        <v>9.5851503675394785</v>
      </c>
      <c r="K176" s="5">
        <f>Data!L68*$D152</f>
        <v>9.6380740837938266</v>
      </c>
      <c r="L176" s="5">
        <f>Data!M68*$D152</f>
        <v>9.6053158413857318</v>
      </c>
      <c r="M176" s="5">
        <f>Data!N68*$D152</f>
        <v>9.5531385089448548</v>
      </c>
      <c r="N176" s="5">
        <f>Data!O68*$D152</f>
        <v>9.5277600545494359</v>
      </c>
      <c r="O176" s="5">
        <f>Data!P68*$D152</f>
        <v>9.530235670121467</v>
      </c>
      <c r="P176" s="5">
        <f>Data!Q68*$D152</f>
        <v>9.5527215360553335</v>
      </c>
      <c r="Q176" s="5">
        <f>Data!R68*$D152</f>
        <v>9.5318932602718363</v>
      </c>
      <c r="R176" s="5">
        <f>Data!S68*$D152</f>
        <v>9.5347083540526292</v>
      </c>
      <c r="S176" s="5">
        <f>Data!T68*$D152</f>
        <v>9.526748175364423</v>
      </c>
      <c r="T176" s="5">
        <f>Data!U68*$D152</f>
        <v>9.5318450309539013</v>
      </c>
      <c r="U176" s="5">
        <f>Data!V68*$D152</f>
        <v>9.5440154417994627</v>
      </c>
      <c r="V176" s="5">
        <f>Data!W68*$D152</f>
        <v>9.5463000130829769</v>
      </c>
      <c r="W176" s="5">
        <f>Data!X68*$D152</f>
        <v>9.5656261563234306</v>
      </c>
      <c r="X176" s="5">
        <f>Data!Y68*$D152</f>
        <v>9.5726477362951368</v>
      </c>
      <c r="Y176" s="5">
        <f>Data!Z68*$D152</f>
        <v>9.5776991720415126</v>
      </c>
      <c r="Z176" s="5">
        <f>Data!AA68*$D152</f>
        <v>9.5748501304398417</v>
      </c>
      <c r="AA176" s="5">
        <f>Data!AB68*$D152</f>
        <v>9.5620527384611336</v>
      </c>
      <c r="AB176" s="5">
        <f>Data!AC68*$D152</f>
        <v>9.5305742118386192</v>
      </c>
      <c r="AC176" s="5">
        <f>Data!AD68*$D152</f>
        <v>9.5229158175718567</v>
      </c>
      <c r="AD176" s="5">
        <f>Data!AE68*$D152</f>
        <v>9.5102659230217821</v>
      </c>
      <c r="AE176" s="5">
        <f>Data!AF68*$D152</f>
        <v>9.4918320221631163</v>
      </c>
      <c r="AF176" s="5">
        <f>Data!AG68*$D152</f>
        <v>9.4770806404393557</v>
      </c>
      <c r="AG176" s="5">
        <f>Data!AH68*$D152</f>
        <v>9.4723579132482225</v>
      </c>
      <c r="AH176" s="5">
        <f>Data!AI68*$D152</f>
        <v>9.449109509020607</v>
      </c>
      <c r="AI176" s="5">
        <f>Data!AJ68*$D152</f>
        <v>9.4500811190663736</v>
      </c>
    </row>
    <row r="177" spans="1:35">
      <c r="A177" s="142" t="s">
        <v>43</v>
      </c>
      <c r="B177" s="5">
        <f>Data!C70*$D153</f>
        <v>56.865602537587549</v>
      </c>
      <c r="C177" s="5">
        <f>Data!D70*$D153</f>
        <v>61.246252671234359</v>
      </c>
      <c r="D177" s="5">
        <f>Data!E70*$D153</f>
        <v>65.047036819301567</v>
      </c>
      <c r="E177" s="5">
        <f>Data!F70*$D153</f>
        <v>66.22648970198199</v>
      </c>
      <c r="F177" s="5">
        <f>Data!G70*$D153</f>
        <v>67.024872274042352</v>
      </c>
      <c r="G177" s="5">
        <f>Data!H70*$D153</f>
        <v>67.472411120128527</v>
      </c>
      <c r="H177" s="5">
        <f>Data!I70*$D153</f>
        <v>67.631187635884061</v>
      </c>
      <c r="I177" s="5">
        <f>Data!J70*$D153</f>
        <v>67.819229021853914</v>
      </c>
      <c r="J177" s="5">
        <f>Data!K70*$D153</f>
        <v>68.063786928625348</v>
      </c>
      <c r="K177" s="5">
        <f>Data!L70*$D153</f>
        <v>68.462555859812454</v>
      </c>
      <c r="L177" s="5">
        <f>Data!M70*$D153</f>
        <v>68.47594252494649</v>
      </c>
      <c r="M177" s="5">
        <f>Data!N70*$D153</f>
        <v>68.432413684634668</v>
      </c>
      <c r="N177" s="5">
        <f>Data!O70*$D153</f>
        <v>68.318188762891808</v>
      </c>
      <c r="O177" s="5">
        <f>Data!P70*$D153</f>
        <v>68.173802908311586</v>
      </c>
      <c r="P177" s="5">
        <f>Data!Q70*$D153</f>
        <v>68.165657471516113</v>
      </c>
      <c r="Q177" s="5">
        <f>Data!R70*$D153</f>
        <v>68.009147096289254</v>
      </c>
      <c r="R177" s="5">
        <f>Data!S70*$D153</f>
        <v>67.90915339561532</v>
      </c>
      <c r="S177" s="5">
        <f>Data!T70*$D153</f>
        <v>67.86512732357339</v>
      </c>
      <c r="T177" s="5">
        <f>Data!U70*$D153</f>
        <v>67.8191539912156</v>
      </c>
      <c r="U177" s="5">
        <f>Data!V70*$D153</f>
        <v>67.849779406754436</v>
      </c>
      <c r="V177" s="5">
        <f>Data!W70*$D153</f>
        <v>67.873455724425398</v>
      </c>
      <c r="W177" s="5">
        <f>Data!X70*$D153</f>
        <v>67.97796325599974</v>
      </c>
      <c r="X177" s="5">
        <f>Data!Y70*$D153</f>
        <v>68.056007266191628</v>
      </c>
      <c r="Y177" s="5">
        <f>Data!Z70*$D153</f>
        <v>68.143881366260786</v>
      </c>
      <c r="Z177" s="5">
        <f>Data!AA70*$D153</f>
        <v>68.221906465041783</v>
      </c>
      <c r="AA177" s="5">
        <f>Data!AB70*$D153</f>
        <v>68.26683828603916</v>
      </c>
      <c r="AB177" s="5">
        <f>Data!AC70*$D153</f>
        <v>68.23792535256888</v>
      </c>
      <c r="AC177" s="5">
        <f>Data!AD70*$D153</f>
        <v>68.303155267497715</v>
      </c>
      <c r="AD177" s="5">
        <f>Data!AE70*$D153</f>
        <v>68.320989957972344</v>
      </c>
      <c r="AE177" s="5">
        <f>Data!AF70*$D153</f>
        <v>68.387172362254276</v>
      </c>
      <c r="AF177" s="5">
        <f>Data!AG70*$D153</f>
        <v>68.443318188652285</v>
      </c>
      <c r="AG177" s="5">
        <f>Data!AH70*$D153</f>
        <v>68.519715214832814</v>
      </c>
      <c r="AH177" s="5">
        <f>Data!AI70*$D153</f>
        <v>68.505742142210039</v>
      </c>
      <c r="AI177" s="5">
        <f>Data!AJ70*$D153</f>
        <v>68.630909083289666</v>
      </c>
    </row>
    <row r="178" spans="1:35">
      <c r="A178" s="142" t="s">
        <v>105</v>
      </c>
      <c r="B178" s="5">
        <f>Data!C71*$D154</f>
        <v>0</v>
      </c>
      <c r="C178" s="5">
        <f>Data!D71*$D154</f>
        <v>0</v>
      </c>
      <c r="D178" s="5">
        <f>Data!E71*$D154</f>
        <v>0</v>
      </c>
      <c r="E178" s="5">
        <f>Data!F71*$D154</f>
        <v>0</v>
      </c>
      <c r="F178" s="5">
        <f>Data!G71*$D154</f>
        <v>0</v>
      </c>
      <c r="G178" s="5">
        <f>Data!H71*$D154</f>
        <v>0</v>
      </c>
      <c r="H178" s="5">
        <f>Data!I71*$D154</f>
        <v>0</v>
      </c>
      <c r="I178" s="5">
        <f>Data!J71*$D154</f>
        <v>0</v>
      </c>
      <c r="J178" s="5">
        <f>Data!K71*$D154</f>
        <v>0</v>
      </c>
      <c r="K178" s="5">
        <f>Data!L71*$D154</f>
        <v>0</v>
      </c>
      <c r="L178" s="5">
        <f>Data!M71*$D154</f>
        <v>0</v>
      </c>
      <c r="M178" s="5">
        <f>Data!N71*$D154</f>
        <v>0</v>
      </c>
      <c r="N178" s="5">
        <f>Data!O71*$D154</f>
        <v>0</v>
      </c>
      <c r="O178" s="5">
        <f>Data!P71*$D154</f>
        <v>0</v>
      </c>
      <c r="P178" s="5">
        <f>Data!Q71*$D154</f>
        <v>0</v>
      </c>
      <c r="Q178" s="5">
        <f>Data!R71*$D154</f>
        <v>0</v>
      </c>
      <c r="R178" s="5">
        <f>Data!S71*$D154</f>
        <v>0</v>
      </c>
      <c r="S178" s="5">
        <f>Data!T71*$D154</f>
        <v>0</v>
      </c>
      <c r="T178" s="5">
        <f>Data!U71*$D154</f>
        <v>0</v>
      </c>
      <c r="U178" s="5">
        <f>Data!V71*$D154</f>
        <v>0</v>
      </c>
      <c r="V178" s="5">
        <f>Data!W71*$D154</f>
        <v>0</v>
      </c>
      <c r="W178" s="5">
        <f>Data!X71*$D154</f>
        <v>0</v>
      </c>
      <c r="X178" s="5">
        <f>Data!Y71*$D154</f>
        <v>0</v>
      </c>
      <c r="Y178" s="5">
        <f>Data!Z71*$D154</f>
        <v>0</v>
      </c>
      <c r="Z178" s="5">
        <f>Data!AA71*$D154</f>
        <v>0</v>
      </c>
      <c r="AA178" s="5">
        <f>Data!AB71*$D154</f>
        <v>0</v>
      </c>
      <c r="AB178" s="5">
        <f>Data!AC71*$D154</f>
        <v>0</v>
      </c>
      <c r="AC178" s="5">
        <f>Data!AD71*$D154</f>
        <v>0</v>
      </c>
      <c r="AD178" s="5">
        <f>Data!AE71*$D154</f>
        <v>0</v>
      </c>
      <c r="AE178" s="5">
        <f>Data!AF71*$D154</f>
        <v>0</v>
      </c>
      <c r="AF178" s="5">
        <f>Data!AG71*$D154</f>
        <v>0</v>
      </c>
      <c r="AG178" s="5">
        <f>Data!AH71*$D154</f>
        <v>0</v>
      </c>
      <c r="AH178" s="5">
        <f>Data!AI71*$D154</f>
        <v>0</v>
      </c>
      <c r="AI178" s="5">
        <f>Data!AJ71*$D154</f>
        <v>0</v>
      </c>
    </row>
    <row r="179" spans="1:35">
      <c r="A179" s="142" t="s">
        <v>44</v>
      </c>
      <c r="B179" s="5">
        <f>Data!C72*$D155</f>
        <v>95.212340999999995</v>
      </c>
      <c r="C179" s="5">
        <f>Data!D72*$D155</f>
        <v>88.127350000000007</v>
      </c>
      <c r="D179" s="5">
        <f>Data!E72*$D155</f>
        <v>88.576553000000004</v>
      </c>
      <c r="E179" s="5">
        <f>Data!F72*$D155</f>
        <v>91.994438000000002</v>
      </c>
      <c r="F179" s="5">
        <f>Data!G72*$D155</f>
        <v>94.937584000000001</v>
      </c>
      <c r="G179" s="5">
        <f>Data!H72*$D155</f>
        <v>97.242812999999998</v>
      </c>
      <c r="H179" s="5">
        <f>Data!I72*$D155</f>
        <v>99.381134000000003</v>
      </c>
      <c r="I179" s="5">
        <f>Data!J72*$D155</f>
        <v>101.15448000000001</v>
      </c>
      <c r="J179" s="5">
        <f>Data!K72*$D155</f>
        <v>102.915222</v>
      </c>
      <c r="K179" s="5">
        <f>Data!L72*$D155</f>
        <v>104.189178</v>
      </c>
      <c r="L179" s="5">
        <f>Data!M72*$D155</f>
        <v>105.156464</v>
      </c>
      <c r="M179" s="5">
        <f>Data!N72*$D155</f>
        <v>106.383987</v>
      </c>
      <c r="N179" s="5">
        <f>Data!O72*$D155</f>
        <v>107.856964</v>
      </c>
      <c r="O179" s="5">
        <f>Data!P72*$D155</f>
        <v>108.554565</v>
      </c>
      <c r="P179" s="5">
        <f>Data!Q72*$D155</f>
        <v>109.31632999999999</v>
      </c>
      <c r="Q179" s="5">
        <f>Data!R72*$D155</f>
        <v>109.691681</v>
      </c>
      <c r="R179" s="5">
        <f>Data!S72*$D155</f>
        <v>110.46727</v>
      </c>
      <c r="S179" s="5">
        <f>Data!T72*$D155</f>
        <v>111.32418800000001</v>
      </c>
      <c r="T179" s="5">
        <f>Data!U72*$D155</f>
        <v>112.70906100000001</v>
      </c>
      <c r="U179" s="5">
        <f>Data!V72*$D155</f>
        <v>114.044006</v>
      </c>
      <c r="V179" s="5">
        <f>Data!W72*$D155</f>
        <v>115.212891</v>
      </c>
      <c r="W179" s="5">
        <f>Data!X72*$D155</f>
        <v>116.422935</v>
      </c>
      <c r="X179" s="5">
        <f>Data!Y72*$D155</f>
        <v>117.53482099999999</v>
      </c>
      <c r="Y179" s="5">
        <f>Data!Z72*$D155</f>
        <v>118.60134100000001</v>
      </c>
      <c r="Z179" s="5">
        <f>Data!AA72*$D155</f>
        <v>119.752274</v>
      </c>
      <c r="AA179" s="5">
        <f>Data!AB72*$D155</f>
        <v>120.699753</v>
      </c>
      <c r="AB179" s="5">
        <f>Data!AC72*$D155</f>
        <v>121.77310900000001</v>
      </c>
      <c r="AC179" s="5">
        <f>Data!AD72*$D155</f>
        <v>122.905029</v>
      </c>
      <c r="AD179" s="5">
        <f>Data!AE72*$D155</f>
        <v>124.31398799999999</v>
      </c>
      <c r="AE179" s="5">
        <f>Data!AF72*$D155</f>
        <v>125.384682</v>
      </c>
      <c r="AF179" s="5">
        <f>Data!AG72*$D155</f>
        <v>126.587036</v>
      </c>
      <c r="AG179" s="5">
        <f>Data!AH72*$D155</f>
        <v>127.994614</v>
      </c>
      <c r="AH179" s="5">
        <f>Data!AI72*$D155</f>
        <v>129.40510599999999</v>
      </c>
      <c r="AI179" s="5">
        <f>Data!AJ72*$D155</f>
        <v>130.83819600000001</v>
      </c>
    </row>
    <row r="180" spans="1:35">
      <c r="A180" s="142" t="s">
        <v>45</v>
      </c>
      <c r="B180" s="5">
        <f>Data!C73*$D156</f>
        <v>1.3301013341007026</v>
      </c>
      <c r="C180" s="5">
        <f>Data!D73*$D156</f>
        <v>1.4552476396884617</v>
      </c>
      <c r="D180" s="5">
        <f>Data!E73*$D156</f>
        <v>1.6926963310898293</v>
      </c>
      <c r="E180" s="5">
        <f>Data!F73*$D156</f>
        <v>1.7946155720059049</v>
      </c>
      <c r="F180" s="5">
        <f>Data!G73*$D156</f>
        <v>1.8774020805465215</v>
      </c>
      <c r="G180" s="5">
        <f>Data!H73*$D156</f>
        <v>1.9253370207432656</v>
      </c>
      <c r="H180" s="5">
        <f>Data!I73*$D156</f>
        <v>1.954855454444145</v>
      </c>
      <c r="I180" s="5">
        <f>Data!J73*$D156</f>
        <v>1.9915580896136531</v>
      </c>
      <c r="J180" s="5">
        <f>Data!K73*$D156</f>
        <v>2.0338313941839616</v>
      </c>
      <c r="K180" s="5">
        <f>Data!L73*$D156</f>
        <v>2.082906714253836</v>
      </c>
      <c r="L180" s="5">
        <f>Data!M73*$D156</f>
        <v>2.1060230003837619</v>
      </c>
      <c r="M180" s="5">
        <f>Data!N73*$D156</f>
        <v>2.1214883239200772</v>
      </c>
      <c r="N180" s="5">
        <f>Data!O73*$D156</f>
        <v>2.134562535239688</v>
      </c>
      <c r="O180" s="5">
        <f>Data!P73*$D156</f>
        <v>2.1376170404929931</v>
      </c>
      <c r="P180" s="5">
        <f>Data!Q73*$D156</f>
        <v>2.1504635166950301</v>
      </c>
      <c r="Q180" s="5">
        <f>Data!R73*$D156</f>
        <v>2.1531886688222635</v>
      </c>
      <c r="R180" s="5">
        <f>Data!S73*$D156</f>
        <v>2.1558360629346103</v>
      </c>
      <c r="S180" s="5">
        <f>Data!T73*$D156</f>
        <v>2.1591553715098466</v>
      </c>
      <c r="T180" s="5">
        <f>Data!U73*$D156</f>
        <v>2.157035453684792</v>
      </c>
      <c r="U180" s="5">
        <f>Data!V73*$D156</f>
        <v>2.158906545862207</v>
      </c>
      <c r="V180" s="5">
        <f>Data!W73*$D156</f>
        <v>2.1590124245838487</v>
      </c>
      <c r="W180" s="5">
        <f>Data!X73*$D156</f>
        <v>2.1644137306371536</v>
      </c>
      <c r="X180" s="5">
        <f>Data!Y73*$D156</f>
        <v>2.1666050154073795</v>
      </c>
      <c r="Y180" s="5">
        <f>Data!Z73*$D156</f>
        <v>2.1681209771441989</v>
      </c>
      <c r="Z180" s="5">
        <f>Data!AA73*$D156</f>
        <v>2.1673551139564724</v>
      </c>
      <c r="AA180" s="5">
        <f>Data!AB73*$D156</f>
        <v>2.1641082375046921</v>
      </c>
      <c r="AB180" s="5">
        <f>Data!AC73*$D156</f>
        <v>2.1527206294833383</v>
      </c>
      <c r="AC180" s="5">
        <f>Data!AD73*$D156</f>
        <v>2.1483442379769464</v>
      </c>
      <c r="AD180" s="5">
        <f>Data!AE73*$D156</f>
        <v>2.1388083358882004</v>
      </c>
      <c r="AE180" s="5">
        <f>Data!AF73*$D156</f>
        <v>2.1333179809301743</v>
      </c>
      <c r="AF180" s="5">
        <f>Data!AG73*$D156</f>
        <v>2.1261397444599477</v>
      </c>
      <c r="AG180" s="5">
        <f>Data!AH73*$D156</f>
        <v>2.1193652105601637</v>
      </c>
      <c r="AH180" s="5">
        <f>Data!AI73*$D156</f>
        <v>2.1060259828829633</v>
      </c>
      <c r="AI180" s="5">
        <f>Data!AJ73*$D156</f>
        <v>2.101189647392621</v>
      </c>
    </row>
    <row r="181" spans="1:35">
      <c r="A181" s="142" t="s">
        <v>49</v>
      </c>
      <c r="B181" s="5">
        <f>Data!C74*$D157</f>
        <v>81.383502356935736</v>
      </c>
      <c r="C181" s="5">
        <f>Data!D74*$D157</f>
        <v>83.106972966925795</v>
      </c>
      <c r="D181" s="5">
        <f>Data!E74*$D157</f>
        <v>89.774934500968456</v>
      </c>
      <c r="E181" s="5">
        <f>Data!F74*$D157</f>
        <v>93.121462855164737</v>
      </c>
      <c r="F181" s="5">
        <f>Data!G74*$D157</f>
        <v>95.680679804700034</v>
      </c>
      <c r="G181" s="5">
        <f>Data!H74*$D157</f>
        <v>97.482302971614729</v>
      </c>
      <c r="H181" s="5">
        <f>Data!I74*$D157</f>
        <v>98.636406388747844</v>
      </c>
      <c r="I181" s="5">
        <f>Data!J74*$D157</f>
        <v>99.94681491973023</v>
      </c>
      <c r="J181" s="5">
        <f>Data!K74*$D157</f>
        <v>101.31510502574525</v>
      </c>
      <c r="K181" s="5">
        <f>Data!L74*$D157</f>
        <v>102.57847634879046</v>
      </c>
      <c r="L181" s="5">
        <f>Data!M74*$D157</f>
        <v>102.88222514529105</v>
      </c>
      <c r="M181" s="5">
        <f>Data!N74*$D157</f>
        <v>103.00432014116035</v>
      </c>
      <c r="N181" s="5">
        <f>Data!O74*$D157</f>
        <v>103.29256313734976</v>
      </c>
      <c r="O181" s="5">
        <f>Data!P74*$D157</f>
        <v>102.86674533533004</v>
      </c>
      <c r="P181" s="5">
        <f>Data!Q74*$D157</f>
        <v>102.71080451245462</v>
      </c>
      <c r="Q181" s="5">
        <f>Data!R74*$D157</f>
        <v>102.18508726058499</v>
      </c>
      <c r="R181" s="5">
        <f>Data!S74*$D157</f>
        <v>101.88943914495042</v>
      </c>
      <c r="S181" s="5">
        <f>Data!T74*$D157</f>
        <v>101.58650947055186</v>
      </c>
      <c r="T181" s="5">
        <f>Data!U74*$D157</f>
        <v>101.42466542961472</v>
      </c>
      <c r="U181" s="5">
        <f>Data!V74*$D157</f>
        <v>101.4152383887468</v>
      </c>
      <c r="V181" s="5">
        <f>Data!W74*$D157</f>
        <v>101.37732911961479</v>
      </c>
      <c r="W181" s="5">
        <f>Data!X74*$D157</f>
        <v>101.51221882402142</v>
      </c>
      <c r="X181" s="5">
        <f>Data!Y74*$D157</f>
        <v>101.5711534343077</v>
      </c>
      <c r="Y181" s="5">
        <f>Data!Z74*$D157</f>
        <v>101.51679568208125</v>
      </c>
      <c r="Z181" s="5">
        <f>Data!AA74*$D157</f>
        <v>101.44565157220804</v>
      </c>
      <c r="AA181" s="5">
        <f>Data!AB74*$D157</f>
        <v>101.2825723505303</v>
      </c>
      <c r="AB181" s="5">
        <f>Data!AC74*$D157</f>
        <v>100.96240106128548</v>
      </c>
      <c r="AC181" s="5">
        <f>Data!AD74*$D157</f>
        <v>100.88220080562358</v>
      </c>
      <c r="AD181" s="5">
        <f>Data!AE74*$D157</f>
        <v>100.76634051129864</v>
      </c>
      <c r="AE181" s="5">
        <f>Data!AF74*$D157</f>
        <v>100.65103283146854</v>
      </c>
      <c r="AF181" s="5">
        <f>Data!AG74*$D157</f>
        <v>100.55276523475297</v>
      </c>
      <c r="AG181" s="5">
        <f>Data!AH74*$D157</f>
        <v>100.5455942414951</v>
      </c>
      <c r="AH181" s="5">
        <f>Data!AI74*$D157</f>
        <v>100.37241819484314</v>
      </c>
      <c r="AI181" s="5">
        <f>Data!AJ74*$D157</f>
        <v>100.44923800069617</v>
      </c>
    </row>
    <row r="183" spans="1:35">
      <c r="A183" s="111" t="s">
        <v>579</v>
      </c>
      <c r="B183" s="109"/>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spans="1:35">
      <c r="B184" s="5">
        <v>2017</v>
      </c>
      <c r="C184" s="5">
        <v>2018</v>
      </c>
      <c r="D184" s="5">
        <v>2019</v>
      </c>
      <c r="E184" s="5">
        <v>2020</v>
      </c>
      <c r="F184" s="5">
        <v>2021</v>
      </c>
      <c r="G184" s="5">
        <v>2022</v>
      </c>
      <c r="H184" s="5">
        <v>2023</v>
      </c>
      <c r="I184" s="5">
        <v>2024</v>
      </c>
      <c r="J184" s="5">
        <v>2025</v>
      </c>
      <c r="K184" s="5">
        <v>2026</v>
      </c>
      <c r="L184" s="5">
        <v>2027</v>
      </c>
      <c r="M184" s="5">
        <v>2028</v>
      </c>
      <c r="N184" s="5">
        <v>2029</v>
      </c>
      <c r="O184" s="5">
        <v>2030</v>
      </c>
      <c r="P184" s="5">
        <v>2031</v>
      </c>
      <c r="Q184" s="5">
        <v>2032</v>
      </c>
      <c r="R184" s="5">
        <v>2033</v>
      </c>
      <c r="S184" s="5">
        <v>2034</v>
      </c>
      <c r="T184" s="5">
        <v>2035</v>
      </c>
      <c r="U184" s="5">
        <v>2036</v>
      </c>
      <c r="V184" s="5">
        <v>2037</v>
      </c>
      <c r="W184" s="5">
        <v>2038</v>
      </c>
      <c r="X184" s="5">
        <v>2039</v>
      </c>
      <c r="Y184" s="5">
        <v>2040</v>
      </c>
      <c r="Z184" s="5">
        <v>2041</v>
      </c>
      <c r="AA184" s="5">
        <v>2042</v>
      </c>
      <c r="AB184" s="5">
        <v>2043</v>
      </c>
      <c r="AC184" s="5">
        <v>2044</v>
      </c>
      <c r="AD184" s="5">
        <v>2045</v>
      </c>
      <c r="AE184" s="5">
        <v>2046</v>
      </c>
      <c r="AF184" s="5">
        <v>2047</v>
      </c>
      <c r="AG184" s="5">
        <v>2048</v>
      </c>
      <c r="AH184" s="5">
        <v>2049</v>
      </c>
      <c r="AI184" s="5">
        <v>2050</v>
      </c>
    </row>
    <row r="185" spans="1:35">
      <c r="A185" s="142" t="s">
        <v>39</v>
      </c>
      <c r="B185" s="5">
        <f>$E149*Data!C65</f>
        <v>30.545005261415778</v>
      </c>
      <c r="C185" s="5">
        <f>$E149*Data!D65</f>
        <v>29.474380305812701</v>
      </c>
      <c r="D185" s="5">
        <f>$E149*Data!E65</f>
        <v>31.10802219440032</v>
      </c>
      <c r="E185" s="5">
        <f>$E149*Data!F65</f>
        <v>32.934173418437645</v>
      </c>
      <c r="F185" s="5">
        <f>$E149*Data!G65</f>
        <v>34.491403749017103</v>
      </c>
      <c r="G185" s="5">
        <f>$E149*Data!H65</f>
        <v>35.502469506263331</v>
      </c>
      <c r="H185" s="5">
        <f>$E149*Data!I65</f>
        <v>36.250261947767974</v>
      </c>
      <c r="I185" s="5">
        <f>$E149*Data!J65</f>
        <v>37.088366616598691</v>
      </c>
      <c r="J185" s="5">
        <f>$E149*Data!K65</f>
        <v>37.96843369159626</v>
      </c>
      <c r="K185" s="5">
        <f>$E149*Data!L65</f>
        <v>38.803765885334371</v>
      </c>
      <c r="L185" s="5">
        <f>$E149*Data!M65</f>
        <v>39.279187157057329</v>
      </c>
      <c r="M185" s="5">
        <f>$E149*Data!N65</f>
        <v>39.682509524707626</v>
      </c>
      <c r="N185" s="5">
        <f>$E149*Data!O65</f>
        <v>40.15866757019829</v>
      </c>
      <c r="O185" s="5">
        <f>$E149*Data!P65</f>
        <v>40.293089723072349</v>
      </c>
      <c r="P185" s="5">
        <f>$E149*Data!Q65</f>
        <v>40.545602465595394</v>
      </c>
      <c r="Q185" s="5">
        <f>$E149*Data!R65</f>
        <v>40.604463949916507</v>
      </c>
      <c r="R185" s="5">
        <f>$E149*Data!S65</f>
        <v>40.743227860055761</v>
      </c>
      <c r="S185" s="5">
        <f>$E149*Data!T65</f>
        <v>40.860518108137953</v>
      </c>
      <c r="T185" s="5">
        <f>$E149*Data!U65</f>
        <v>41.000032577832663</v>
      </c>
      <c r="U185" s="5">
        <f>$E149*Data!V65</f>
        <v>41.190125571040042</v>
      </c>
      <c r="V185" s="5">
        <f>$E149*Data!W65</f>
        <v>41.333157714243143</v>
      </c>
      <c r="W185" s="5">
        <f>$E149*Data!X65</f>
        <v>41.559482055297494</v>
      </c>
      <c r="X185" s="5">
        <f>$E149*Data!Y65</f>
        <v>41.723400432823944</v>
      </c>
      <c r="Y185" s="5">
        <f>$E149*Data!Z65</f>
        <v>41.87605658763303</v>
      </c>
      <c r="Z185" s="5">
        <f>$E149*Data!AA65</f>
        <v>42.008030231426687</v>
      </c>
      <c r="AA185" s="5">
        <f>$E149*Data!AB65</f>
        <v>42.083118353810534</v>
      </c>
      <c r="AB185" s="5">
        <f>$E149*Data!AC65</f>
        <v>42.062243607643651</v>
      </c>
      <c r="AC185" s="5">
        <f>$E149*Data!AD65</f>
        <v>42.150183147721961</v>
      </c>
      <c r="AD185" s="5">
        <f>$E149*Data!AE65</f>
        <v>42.20522290532702</v>
      </c>
      <c r="AE185" s="5">
        <f>$E149*Data!AF65</f>
        <v>42.260379842127982</v>
      </c>
      <c r="AF185" s="5">
        <f>$E149*Data!AG65</f>
        <v>42.314168922432977</v>
      </c>
      <c r="AG185" s="5">
        <f>$E149*Data!AH65</f>
        <v>42.402225641707197</v>
      </c>
      <c r="AH185" s="5">
        <f>$E149*Data!AI65</f>
        <v>42.401203195782159</v>
      </c>
      <c r="AI185" s="5">
        <f>$E149*Data!AJ65</f>
        <v>42.517134777893553</v>
      </c>
    </row>
    <row r="186" spans="1:35">
      <c r="A186" s="142" t="s">
        <v>40</v>
      </c>
      <c r="B186" s="5">
        <f>$E150*Data!C66</f>
        <v>175.06036673002816</v>
      </c>
      <c r="C186" s="5">
        <f>$E150*Data!D66</f>
        <v>191.15182595331598</v>
      </c>
      <c r="D186" s="5">
        <f>$E150*Data!E66</f>
        <v>203.63273834787975</v>
      </c>
      <c r="E186" s="5">
        <f>$E150*Data!F66</f>
        <v>205.74144843884838</v>
      </c>
      <c r="F186" s="5">
        <f>$E150*Data!G66</f>
        <v>206.14018703207074</v>
      </c>
      <c r="G186" s="5">
        <f>$E150*Data!H66</f>
        <v>207.07939590240707</v>
      </c>
      <c r="H186" s="5">
        <f>$E150*Data!I66</f>
        <v>206.57237147813677</v>
      </c>
      <c r="I186" s="5">
        <f>$E150*Data!J66</f>
        <v>206.55806719158849</v>
      </c>
      <c r="J186" s="5">
        <f>$E150*Data!K66</f>
        <v>206.4651609385335</v>
      </c>
      <c r="K186" s="5">
        <f>$E150*Data!L66</f>
        <v>207.41619648300798</v>
      </c>
      <c r="L186" s="5">
        <f>$E150*Data!M66</f>
        <v>206.53116575854213</v>
      </c>
      <c r="M186" s="5">
        <f>$E150*Data!N66</f>
        <v>205.15820545759848</v>
      </c>
      <c r="N186" s="5">
        <f>$E150*Data!O66</f>
        <v>204.56393078263753</v>
      </c>
      <c r="O186" s="5">
        <f>$E150*Data!P66</f>
        <v>203.6742251443691</v>
      </c>
      <c r="P186" s="5">
        <f>$E150*Data!Q66</f>
        <v>203.06891877569711</v>
      </c>
      <c r="Q186" s="5">
        <f>$E150*Data!R66</f>
        <v>201.90603243555506</v>
      </c>
      <c r="R186" s="5">
        <f>$E150*Data!S66</f>
        <v>201.27707271860677</v>
      </c>
      <c r="S186" s="5">
        <f>$E150*Data!T66</f>
        <v>200.44771513210551</v>
      </c>
      <c r="T186" s="5">
        <f>$E150*Data!U66</f>
        <v>200.18397769484289</v>
      </c>
      <c r="U186" s="5">
        <f>$E150*Data!V66</f>
        <v>200.20300284781956</v>
      </c>
      <c r="V186" s="5">
        <f>$E150*Data!W66</f>
        <v>200.04229272945418</v>
      </c>
      <c r="W186" s="5">
        <f>$E150*Data!X66</f>
        <v>200.2411940751588</v>
      </c>
      <c r="X186" s="5">
        <f>$E150*Data!Y66</f>
        <v>200.35817490889363</v>
      </c>
      <c r="Y186" s="5">
        <f>$E150*Data!Z66</f>
        <v>200.26732503584518</v>
      </c>
      <c r="Z186" s="5">
        <f>$E150*Data!AA66</f>
        <v>200.30387958382724</v>
      </c>
      <c r="AA186" s="5">
        <f>$E150*Data!AB66</f>
        <v>200.05372191337872</v>
      </c>
      <c r="AB186" s="5">
        <f>$E150*Data!AC66</f>
        <v>199.47312044223773</v>
      </c>
      <c r="AC186" s="5">
        <f>$E150*Data!AD66</f>
        <v>199.4617142346261</v>
      </c>
      <c r="AD186" s="5">
        <f>$E150*Data!AE66</f>
        <v>199.4588858505054</v>
      </c>
      <c r="AE186" s="5">
        <f>$E150*Data!AF66</f>
        <v>199.19161925157792</v>
      </c>
      <c r="AF186" s="5">
        <f>$E150*Data!AG66</f>
        <v>199.01669751779306</v>
      </c>
      <c r="AG186" s="5">
        <f>$E150*Data!AH66</f>
        <v>199.14389208849886</v>
      </c>
      <c r="AH186" s="5">
        <f>$E150*Data!AI66</f>
        <v>198.86804690020338</v>
      </c>
      <c r="AI186" s="5">
        <f>$E150*Data!AJ66</f>
        <v>199.10658927859265</v>
      </c>
    </row>
    <row r="187" spans="1:35">
      <c r="A187" s="142" t="s">
        <v>41</v>
      </c>
      <c r="B187" s="5">
        <f>$E151*Data!C67</f>
        <v>50.327314292967756</v>
      </c>
      <c r="C187" s="5">
        <f>$E151*Data!D67</f>
        <v>53.19224223938965</v>
      </c>
      <c r="D187" s="5">
        <f>$E151*Data!E67</f>
        <v>58.443255687516334</v>
      </c>
      <c r="E187" s="5">
        <f>$E151*Data!F67</f>
        <v>60.505085675475719</v>
      </c>
      <c r="F187" s="5">
        <f>$E151*Data!G67</f>
        <v>61.903486881840998</v>
      </c>
      <c r="G187" s="5">
        <f>$E151*Data!H67</f>
        <v>62.707765056910596</v>
      </c>
      <c r="H187" s="5">
        <f>$E151*Data!I67</f>
        <v>63.042070409928172</v>
      </c>
      <c r="I187" s="5">
        <f>$E151*Data!J67</f>
        <v>63.487175202627427</v>
      </c>
      <c r="J187" s="5">
        <f>$E151*Data!K67</f>
        <v>63.974209468778362</v>
      </c>
      <c r="K187" s="5">
        <f>$E151*Data!L67</f>
        <v>64.682203872793409</v>
      </c>
      <c r="L187" s="5">
        <f>$E151*Data!M67</f>
        <v>64.738672757062233</v>
      </c>
      <c r="M187" s="5">
        <f>$E151*Data!N67</f>
        <v>64.646905363251079</v>
      </c>
      <c r="N187" s="5">
        <f>$E151*Data!O67</f>
        <v>64.605646798136732</v>
      </c>
      <c r="O187" s="5">
        <f>$E151*Data!P67</f>
        <v>64.32078034351089</v>
      </c>
      <c r="P187" s="5">
        <f>$E151*Data!Q67</f>
        <v>64.271195162593557</v>
      </c>
      <c r="Q187" s="5">
        <f>$E151*Data!R67</f>
        <v>63.913621697479691</v>
      </c>
      <c r="R187" s="5">
        <f>$E151*Data!S67</f>
        <v>63.638244460090711</v>
      </c>
      <c r="S187" s="5">
        <f>$E151*Data!T67</f>
        <v>63.434381762549073</v>
      </c>
      <c r="T187" s="5">
        <f>$E151*Data!U67</f>
        <v>63.210564903111624</v>
      </c>
      <c r="U187" s="5">
        <f>$E151*Data!V67</f>
        <v>63.103120005116573</v>
      </c>
      <c r="V187" s="5">
        <f>$E151*Data!W67</f>
        <v>62.930717241105071</v>
      </c>
      <c r="W187" s="5">
        <f>$E151*Data!X67</f>
        <v>62.947890503260197</v>
      </c>
      <c r="X187" s="5">
        <f>$E151*Data!Y67</f>
        <v>62.86665851480096</v>
      </c>
      <c r="Y187" s="5">
        <f>$E151*Data!Z67</f>
        <v>62.7885934281395</v>
      </c>
      <c r="Z187" s="5">
        <f>$E151*Data!AA67</f>
        <v>62.692093679743486</v>
      </c>
      <c r="AA187" s="5">
        <f>$E151*Data!AB67</f>
        <v>62.566587868037416</v>
      </c>
      <c r="AB187" s="5">
        <f>$E151*Data!AC67</f>
        <v>62.298438978693746</v>
      </c>
      <c r="AC187" s="5">
        <f>$E151*Data!AD67</f>
        <v>62.181253655773894</v>
      </c>
      <c r="AD187" s="5">
        <f>$E151*Data!AE67</f>
        <v>61.987920236567383</v>
      </c>
      <c r="AE187" s="5">
        <f>$E151*Data!AF67</f>
        <v>61.835249530093449</v>
      </c>
      <c r="AF187" s="5">
        <f>$E151*Data!AG67</f>
        <v>61.67172864278055</v>
      </c>
      <c r="AG187" s="5">
        <f>$E151*Data!AH67</f>
        <v>61.56891194008513</v>
      </c>
      <c r="AH187" s="5">
        <f>$E151*Data!AI67</f>
        <v>61.30161011081119</v>
      </c>
      <c r="AI187" s="5">
        <f>$E151*Data!AJ67</f>
        <v>61.24166491039724</v>
      </c>
    </row>
    <row r="188" spans="1:35">
      <c r="A188" s="142" t="s">
        <v>42</v>
      </c>
      <c r="B188" s="5">
        <f>$E152*Data!C68</f>
        <v>26.823034803175627</v>
      </c>
      <c r="C188" s="5">
        <f>$E152*Data!D68</f>
        <v>32.426655003439507</v>
      </c>
      <c r="D188" s="5">
        <f>$E152*Data!E68</f>
        <v>32.059086842204501</v>
      </c>
      <c r="E188" s="5">
        <f>$E152*Data!F68</f>
        <v>32.103275653093512</v>
      </c>
      <c r="F188" s="5">
        <f>$E152*Data!G68</f>
        <v>31.836640136894314</v>
      </c>
      <c r="G188" s="5">
        <f>$E152*Data!H68</f>
        <v>31.845644553928512</v>
      </c>
      <c r="H188" s="5">
        <f>$E152*Data!I68</f>
        <v>31.631813200087041</v>
      </c>
      <c r="I188" s="5">
        <f>$E152*Data!J68</f>
        <v>31.494612445103595</v>
      </c>
      <c r="J188" s="5">
        <f>$E152*Data!K68</f>
        <v>31.355527632460525</v>
      </c>
      <c r="K188" s="5">
        <f>$E152*Data!L68</f>
        <v>31.528654916206175</v>
      </c>
      <c r="L188" s="5">
        <f>$E152*Data!M68</f>
        <v>31.421494158614269</v>
      </c>
      <c r="M188" s="5">
        <f>$E152*Data!N68</f>
        <v>31.25080849105515</v>
      </c>
      <c r="N188" s="5">
        <f>$E152*Data!O68</f>
        <v>31.167788945450567</v>
      </c>
      <c r="O188" s="5">
        <f>$E152*Data!P68</f>
        <v>31.175887329878535</v>
      </c>
      <c r="P188" s="5">
        <f>$E152*Data!Q68</f>
        <v>31.24944446394467</v>
      </c>
      <c r="Q188" s="5">
        <f>$E152*Data!R68</f>
        <v>31.181309739728167</v>
      </c>
      <c r="R188" s="5">
        <f>$E152*Data!S68</f>
        <v>31.190518645947371</v>
      </c>
      <c r="S188" s="5">
        <f>$E152*Data!T68</f>
        <v>31.16447882463558</v>
      </c>
      <c r="T188" s="5">
        <f>$E152*Data!U68</f>
        <v>31.181151969046105</v>
      </c>
      <c r="U188" s="5">
        <f>$E152*Data!V68</f>
        <v>31.220964558200542</v>
      </c>
      <c r="V188" s="5">
        <f>$E152*Data!W68</f>
        <v>31.228437986917026</v>
      </c>
      <c r="W188" s="5">
        <f>$E152*Data!X68</f>
        <v>31.291658843676572</v>
      </c>
      <c r="X188" s="5">
        <f>$E152*Data!Y68</f>
        <v>31.314628263704869</v>
      </c>
      <c r="Y188" s="5">
        <f>$E152*Data!Z68</f>
        <v>31.331152827958494</v>
      </c>
      <c r="Z188" s="5">
        <f>$E152*Data!AA68</f>
        <v>31.321832869560165</v>
      </c>
      <c r="AA188" s="5">
        <f>$E152*Data!AB68</f>
        <v>31.27996926153887</v>
      </c>
      <c r="AB188" s="5">
        <f>$E152*Data!AC68</f>
        <v>31.176994788161384</v>
      </c>
      <c r="AC188" s="5">
        <f>$E152*Data!AD68</f>
        <v>31.151942182428147</v>
      </c>
      <c r="AD188" s="5">
        <f>$E152*Data!AE68</f>
        <v>31.110561076978222</v>
      </c>
      <c r="AE188" s="5">
        <f>$E152*Data!AF68</f>
        <v>31.050258977836886</v>
      </c>
      <c r="AF188" s="5">
        <f>$E152*Data!AG68</f>
        <v>31.00200335956065</v>
      </c>
      <c r="AG188" s="5">
        <f>$E152*Data!AH68</f>
        <v>30.986554086751781</v>
      </c>
      <c r="AH188" s="5">
        <f>$E152*Data!AI68</f>
        <v>30.910502490979397</v>
      </c>
      <c r="AI188" s="5">
        <f>$E152*Data!AJ68</f>
        <v>30.913680880933633</v>
      </c>
    </row>
    <row r="189" spans="1:35">
      <c r="A189" s="142" t="s">
        <v>43</v>
      </c>
      <c r="B189" s="5">
        <f>$E153*Data!C70</f>
        <v>186.02222222222221</v>
      </c>
      <c r="C189" s="5">
        <f>$E153*Data!D70</f>
        <v>200.3524717276313</v>
      </c>
      <c r="D189" s="5">
        <f>$E153*Data!E70</f>
        <v>212.78582830629622</v>
      </c>
      <c r="E189" s="5">
        <f>$E153*Data!F70</f>
        <v>216.64412640658614</v>
      </c>
      <c r="F189" s="5">
        <f>$E153*Data!G70</f>
        <v>219.25584409901708</v>
      </c>
      <c r="G189" s="5">
        <f>$E153*Data!H70</f>
        <v>220.71986042812728</v>
      </c>
      <c r="H189" s="5">
        <f>$E153*Data!I70</f>
        <v>221.23925983619694</v>
      </c>
      <c r="I189" s="5">
        <f>$E153*Data!J70</f>
        <v>221.8543922699865</v>
      </c>
      <c r="J189" s="5">
        <f>$E153*Data!K70</f>
        <v>222.65440498856395</v>
      </c>
      <c r="K189" s="5">
        <f>$E153*Data!L70</f>
        <v>223.95888220189465</v>
      </c>
      <c r="L189" s="5">
        <f>$E153*Data!M70</f>
        <v>224.00267347614931</v>
      </c>
      <c r="M189" s="5">
        <f>$E153*Data!N70</f>
        <v>223.86027928274899</v>
      </c>
      <c r="N189" s="5">
        <f>$E153*Data!O70</f>
        <v>223.48661976227314</v>
      </c>
      <c r="O189" s="5">
        <f>$E153*Data!P70</f>
        <v>223.01429596145323</v>
      </c>
      <c r="P189" s="5">
        <f>$E153*Data!Q70</f>
        <v>222.98765011253846</v>
      </c>
      <c r="Q189" s="5">
        <f>$E153*Data!R70</f>
        <v>222.47566384137761</v>
      </c>
      <c r="R189" s="5">
        <f>$E153*Data!S70</f>
        <v>222.1485583579653</v>
      </c>
      <c r="S189" s="5">
        <f>$E153*Data!T70</f>
        <v>222.00453758984736</v>
      </c>
      <c r="T189" s="5">
        <f>$E153*Data!U70</f>
        <v>221.854146825193</v>
      </c>
      <c r="U189" s="5">
        <f>$E153*Data!V70</f>
        <v>221.9543305496378</v>
      </c>
      <c r="V189" s="5">
        <f>$E153*Data!W70</f>
        <v>222.03178196192664</v>
      </c>
      <c r="W189" s="5">
        <f>$E153*Data!X70</f>
        <v>222.37365336387947</v>
      </c>
      <c r="X189" s="5">
        <f>$E153*Data!Y70</f>
        <v>222.62895568301752</v>
      </c>
      <c r="Y189" s="5">
        <f>$E153*Data!Z70</f>
        <v>222.91641479082946</v>
      </c>
      <c r="Z189" s="5">
        <f>$E153*Data!AA70</f>
        <v>223.17165524580847</v>
      </c>
      <c r="AA189" s="5">
        <f>$E153*Data!AB70</f>
        <v>223.31863895507098</v>
      </c>
      <c r="AB189" s="5">
        <f>$E153*Data!AC70</f>
        <v>223.22405720626159</v>
      </c>
      <c r="AC189" s="5">
        <f>$E153*Data!AD70</f>
        <v>223.43744127657737</v>
      </c>
      <c r="AD189" s="5">
        <f>$E153*Data!AE70</f>
        <v>223.49578320221761</v>
      </c>
      <c r="AE189" s="5">
        <f>$E153*Data!AF70</f>
        <v>223.71228311371328</v>
      </c>
      <c r="AF189" s="5">
        <f>$E153*Data!AG70</f>
        <v>223.89595076039222</v>
      </c>
      <c r="AG189" s="5">
        <f>$E153*Data!AH70</f>
        <v>224.14586536512851</v>
      </c>
      <c r="AH189" s="5">
        <f>$E153*Data!AI70</f>
        <v>224.10015579898362</v>
      </c>
      <c r="AI189" s="5">
        <f>$E153*Data!AJ70</f>
        <v>224.50960951949949</v>
      </c>
    </row>
    <row r="190" spans="1:35">
      <c r="A190" s="142" t="s">
        <v>105</v>
      </c>
      <c r="B190" s="5">
        <f>$E154*Data!C71</f>
        <v>0</v>
      </c>
      <c r="C190" s="5">
        <f>$E154*Data!D71</f>
        <v>0</v>
      </c>
      <c r="D190" s="5">
        <f>$E154*Data!E71</f>
        <v>0</v>
      </c>
      <c r="E190" s="5">
        <f>$E154*Data!F71</f>
        <v>0</v>
      </c>
      <c r="F190" s="5">
        <f>$E154*Data!G71</f>
        <v>0</v>
      </c>
      <c r="G190" s="5">
        <f>$E154*Data!H71</f>
        <v>0</v>
      </c>
      <c r="H190" s="5">
        <f>$E154*Data!I71</f>
        <v>0</v>
      </c>
      <c r="I190" s="5">
        <f>$E154*Data!J71</f>
        <v>0</v>
      </c>
      <c r="J190" s="5">
        <f>$E154*Data!K71</f>
        <v>0</v>
      </c>
      <c r="K190" s="5">
        <f>$E154*Data!L71</f>
        <v>0</v>
      </c>
      <c r="L190" s="5">
        <f>$E154*Data!M71</f>
        <v>0</v>
      </c>
      <c r="M190" s="5">
        <f>$E154*Data!N71</f>
        <v>0</v>
      </c>
      <c r="N190" s="5">
        <f>$E154*Data!O71</f>
        <v>0</v>
      </c>
      <c r="O190" s="5">
        <f>$E154*Data!P71</f>
        <v>0</v>
      </c>
      <c r="P190" s="5">
        <f>$E154*Data!Q71</f>
        <v>0</v>
      </c>
      <c r="Q190" s="5">
        <f>$E154*Data!R71</f>
        <v>0</v>
      </c>
      <c r="R190" s="5">
        <f>$E154*Data!S71</f>
        <v>0</v>
      </c>
      <c r="S190" s="5">
        <f>$E154*Data!T71</f>
        <v>0</v>
      </c>
      <c r="T190" s="5">
        <f>$E154*Data!U71</f>
        <v>0</v>
      </c>
      <c r="U190" s="5">
        <f>$E154*Data!V71</f>
        <v>0</v>
      </c>
      <c r="V190" s="5">
        <f>$E154*Data!W71</f>
        <v>0</v>
      </c>
      <c r="W190" s="5">
        <f>$E154*Data!X71</f>
        <v>0</v>
      </c>
      <c r="X190" s="5">
        <f>$E154*Data!Y71</f>
        <v>0</v>
      </c>
      <c r="Y190" s="5">
        <f>$E154*Data!Z71</f>
        <v>0</v>
      </c>
      <c r="Z190" s="5">
        <f>$E154*Data!AA71</f>
        <v>0</v>
      </c>
      <c r="AA190" s="5">
        <f>$E154*Data!AB71</f>
        <v>0</v>
      </c>
      <c r="AB190" s="5">
        <f>$E154*Data!AC71</f>
        <v>0</v>
      </c>
      <c r="AC190" s="5">
        <f>$E154*Data!AD71</f>
        <v>0</v>
      </c>
      <c r="AD190" s="5">
        <f>$E154*Data!AE71</f>
        <v>0</v>
      </c>
      <c r="AE190" s="5">
        <f>$E154*Data!AF71</f>
        <v>0</v>
      </c>
      <c r="AF190" s="5">
        <f>$E154*Data!AG71</f>
        <v>0</v>
      </c>
      <c r="AG190" s="5">
        <f>$E154*Data!AH71</f>
        <v>0</v>
      </c>
      <c r="AH190" s="5">
        <f>$E154*Data!AI71</f>
        <v>0</v>
      </c>
      <c r="AI190" s="5">
        <f>$E154*Data!AJ71</f>
        <v>0</v>
      </c>
    </row>
    <row r="191" spans="1:35">
      <c r="A191" s="142" t="s">
        <v>44</v>
      </c>
      <c r="B191" s="5">
        <f>$E155*Data!C72</f>
        <v>0</v>
      </c>
      <c r="C191" s="5">
        <f>$E155*Data!D72</f>
        <v>0</v>
      </c>
      <c r="D191" s="5">
        <f>$E155*Data!E72</f>
        <v>0</v>
      </c>
      <c r="E191" s="5">
        <f>$E155*Data!F72</f>
        <v>0</v>
      </c>
      <c r="F191" s="5">
        <f>$E155*Data!G72</f>
        <v>0</v>
      </c>
      <c r="G191" s="5">
        <f>$E155*Data!H72</f>
        <v>0</v>
      </c>
      <c r="H191" s="5">
        <f>$E155*Data!I72</f>
        <v>0</v>
      </c>
      <c r="I191" s="5">
        <f>$E155*Data!J72</f>
        <v>0</v>
      </c>
      <c r="J191" s="5">
        <f>$E155*Data!K72</f>
        <v>0</v>
      </c>
      <c r="K191" s="5">
        <f>$E155*Data!L72</f>
        <v>0</v>
      </c>
      <c r="L191" s="5">
        <f>$E155*Data!M72</f>
        <v>0</v>
      </c>
      <c r="M191" s="5">
        <f>$E155*Data!N72</f>
        <v>0</v>
      </c>
      <c r="N191" s="5">
        <f>$E155*Data!O72</f>
        <v>0</v>
      </c>
      <c r="O191" s="5">
        <f>$E155*Data!P72</f>
        <v>0</v>
      </c>
      <c r="P191" s="5">
        <f>$E155*Data!Q72</f>
        <v>0</v>
      </c>
      <c r="Q191" s="5">
        <f>$E155*Data!R72</f>
        <v>0</v>
      </c>
      <c r="R191" s="5">
        <f>$E155*Data!S72</f>
        <v>0</v>
      </c>
      <c r="S191" s="5">
        <f>$E155*Data!T72</f>
        <v>0</v>
      </c>
      <c r="T191" s="5">
        <f>$E155*Data!U72</f>
        <v>0</v>
      </c>
      <c r="U191" s="5">
        <f>$E155*Data!V72</f>
        <v>0</v>
      </c>
      <c r="V191" s="5">
        <f>$E155*Data!W72</f>
        <v>0</v>
      </c>
      <c r="W191" s="5">
        <f>$E155*Data!X72</f>
        <v>0</v>
      </c>
      <c r="X191" s="5">
        <f>$E155*Data!Y72</f>
        <v>0</v>
      </c>
      <c r="Y191" s="5">
        <f>$E155*Data!Z72</f>
        <v>0</v>
      </c>
      <c r="Z191" s="5">
        <f>$E155*Data!AA72</f>
        <v>0</v>
      </c>
      <c r="AA191" s="5">
        <f>$E155*Data!AB72</f>
        <v>0</v>
      </c>
      <c r="AB191" s="5">
        <f>$E155*Data!AC72</f>
        <v>0</v>
      </c>
      <c r="AC191" s="5">
        <f>$E155*Data!AD72</f>
        <v>0</v>
      </c>
      <c r="AD191" s="5">
        <f>$E155*Data!AE72</f>
        <v>0</v>
      </c>
      <c r="AE191" s="5">
        <f>$E155*Data!AF72</f>
        <v>0</v>
      </c>
      <c r="AF191" s="5">
        <f>$E155*Data!AG72</f>
        <v>0</v>
      </c>
      <c r="AG191" s="5">
        <f>$E155*Data!AH72</f>
        <v>0</v>
      </c>
      <c r="AH191" s="5">
        <f>$E155*Data!AI72</f>
        <v>0</v>
      </c>
      <c r="AI191" s="5">
        <f>$E155*Data!AJ72</f>
        <v>0</v>
      </c>
    </row>
    <row r="192" spans="1:35">
      <c r="A192" s="142" t="s">
        <v>45</v>
      </c>
      <c r="B192" s="5">
        <f>$E156*Data!C73</f>
        <v>4.3511084892946945</v>
      </c>
      <c r="C192" s="5">
        <f>$E156*Data!D73</f>
        <v>4.7604947057328015</v>
      </c>
      <c r="D192" s="5">
        <f>$E156*Data!E73</f>
        <v>5.5372513260296623</v>
      </c>
      <c r="E192" s="5">
        <f>$E156*Data!F73</f>
        <v>5.8706557539503645</v>
      </c>
      <c r="F192" s="5">
        <f>$E156*Data!G73</f>
        <v>6.1414720225121044</v>
      </c>
      <c r="G192" s="5">
        <f>$E156*Data!H73</f>
        <v>6.2982797181941059</v>
      </c>
      <c r="H192" s="5">
        <f>$E156*Data!I73</f>
        <v>6.3948422162337133</v>
      </c>
      <c r="I192" s="5">
        <f>$E156*Data!J73</f>
        <v>6.5149061116462432</v>
      </c>
      <c r="J192" s="5">
        <f>$E156*Data!K73</f>
        <v>6.6531931200648691</v>
      </c>
      <c r="K192" s="5">
        <f>$E156*Data!L73</f>
        <v>6.8137312958387142</v>
      </c>
      <c r="L192" s="5">
        <f>$E156*Data!M73</f>
        <v>6.8893506988437423</v>
      </c>
      <c r="M192" s="5">
        <f>$E156*Data!N73</f>
        <v>6.9399418070573473</v>
      </c>
      <c r="N192" s="5">
        <f>$E156*Data!O73</f>
        <v>6.9827109633653173</v>
      </c>
      <c r="O192" s="5">
        <f>$E156*Data!P73</f>
        <v>6.9927030469739222</v>
      </c>
      <c r="P192" s="5">
        <f>$E156*Data!Q73</f>
        <v>7.0347272222958699</v>
      </c>
      <c r="Q192" s="5">
        <f>$E156*Data!R73</f>
        <v>7.0436419059003663</v>
      </c>
      <c r="R192" s="5">
        <f>$E156*Data!S73</f>
        <v>7.0523022227509822</v>
      </c>
      <c r="S192" s="5">
        <f>$E156*Data!T73</f>
        <v>7.0631605471132124</v>
      </c>
      <c r="T192" s="5">
        <f>$E156*Data!U73</f>
        <v>7.0562257428176896</v>
      </c>
      <c r="U192" s="5">
        <f>$E156*Data!V73</f>
        <v>7.0623465735007951</v>
      </c>
      <c r="V192" s="5">
        <f>$E156*Data!W73</f>
        <v>7.0626929304232027</v>
      </c>
      <c r="W192" s="5">
        <f>$E156*Data!X73</f>
        <v>7.0803620117324897</v>
      </c>
      <c r="X192" s="5">
        <f>$E156*Data!Y73</f>
        <v>7.0875302759254115</v>
      </c>
      <c r="Y192" s="5">
        <f>$E156*Data!Z73</f>
        <v>7.0924893822832598</v>
      </c>
      <c r="Z192" s="5">
        <f>$E156*Data!AA73</f>
        <v>7.0899840439813397</v>
      </c>
      <c r="AA192" s="5">
        <f>$E156*Data!AB73</f>
        <v>7.079362663992586</v>
      </c>
      <c r="AB192" s="5">
        <f>$E156*Data!AC73</f>
        <v>7.0421108271105686</v>
      </c>
      <c r="AC192" s="5">
        <f>$E156*Data!AD73</f>
        <v>7.027794508685993</v>
      </c>
      <c r="AD192" s="5">
        <f>$E156*Data!AE73</f>
        <v>6.9966000850224175</v>
      </c>
      <c r="AE192" s="5">
        <f>$E156*Data!AF73</f>
        <v>6.9786397015127948</v>
      </c>
      <c r="AF192" s="5">
        <f>$E156*Data!AG73</f>
        <v>6.9551578172059232</v>
      </c>
      <c r="AG192" s="5">
        <f>$E156*Data!AH73</f>
        <v>6.9329965493335814</v>
      </c>
      <c r="AH192" s="5">
        <f>$E156*Data!AI73</f>
        <v>6.8893604553767673</v>
      </c>
      <c r="AI192" s="5">
        <f>$E156*Data!AJ73</f>
        <v>6.8735395401806079</v>
      </c>
    </row>
    <row r="193" spans="1:35">
      <c r="A193" s="142" t="s">
        <v>49</v>
      </c>
      <c r="B193" s="5">
        <f>$E157*Data!C74</f>
        <v>266.22666928848304</v>
      </c>
      <c r="C193" s="5">
        <f>$E157*Data!D74</f>
        <v>271.86459130985128</v>
      </c>
      <c r="D193" s="5">
        <f>$E157*Data!E74</f>
        <v>293.67723316896161</v>
      </c>
      <c r="E193" s="5">
        <f>$E157*Data!F74</f>
        <v>304.62460052985051</v>
      </c>
      <c r="F193" s="5">
        <f>$E157*Data!G74</f>
        <v>312.99646687535619</v>
      </c>
      <c r="G193" s="5">
        <f>$E157*Data!H74</f>
        <v>318.89004630054535</v>
      </c>
      <c r="H193" s="5">
        <f>$E157*Data!I74</f>
        <v>322.66541968531612</v>
      </c>
      <c r="I193" s="5">
        <f>$E157*Data!J74</f>
        <v>326.95210787772874</v>
      </c>
      <c r="J193" s="5">
        <f>$E157*Data!K74</f>
        <v>331.42814180346352</v>
      </c>
      <c r="K193" s="5">
        <f>$E157*Data!L74</f>
        <v>335.5609590166348</v>
      </c>
      <c r="L193" s="5">
        <f>$E157*Data!M74</f>
        <v>336.554600578509</v>
      </c>
      <c r="M193" s="5">
        <f>$E157*Data!N74</f>
        <v>336.95400516476673</v>
      </c>
      <c r="N193" s="5">
        <f>$E157*Data!O74</f>
        <v>337.8969232083362</v>
      </c>
      <c r="O193" s="5">
        <f>$E157*Data!P74</f>
        <v>336.5039620814207</v>
      </c>
      <c r="P193" s="5">
        <f>$E157*Data!Q74</f>
        <v>335.99383896459847</v>
      </c>
      <c r="Q193" s="5">
        <f>$E157*Data!R74</f>
        <v>334.27408067330617</v>
      </c>
      <c r="R193" s="5">
        <f>$E157*Data!S74</f>
        <v>333.30693855202463</v>
      </c>
      <c r="S193" s="5">
        <f>$E157*Data!T74</f>
        <v>332.31597655225642</v>
      </c>
      <c r="T193" s="5">
        <f>$E157*Data!U74</f>
        <v>331.78654246899572</v>
      </c>
      <c r="U193" s="5">
        <f>$E157*Data!V74</f>
        <v>331.75570415878758</v>
      </c>
      <c r="V193" s="5">
        <f>$E157*Data!W74</f>
        <v>331.631693048871</v>
      </c>
      <c r="W193" s="5">
        <f>$E157*Data!X74</f>
        <v>332.07295246491316</v>
      </c>
      <c r="X193" s="5">
        <f>$E157*Data!Y74</f>
        <v>332.26574295128864</v>
      </c>
      <c r="Y193" s="5">
        <f>$E157*Data!Z74</f>
        <v>332.08792456173609</v>
      </c>
      <c r="Z193" s="5">
        <f>$E157*Data!AA74</f>
        <v>331.85519361673482</v>
      </c>
      <c r="AA193" s="5">
        <f>$E157*Data!AB74</f>
        <v>331.32171893501118</v>
      </c>
      <c r="AB193" s="5">
        <f>$E157*Data!AC74</f>
        <v>330.27435511471742</v>
      </c>
      <c r="AC193" s="5">
        <f>$E157*Data!AD74</f>
        <v>330.01199915407926</v>
      </c>
      <c r="AD193" s="5">
        <f>$E157*Data!AE74</f>
        <v>329.63298990321624</v>
      </c>
      <c r="AE193" s="5">
        <f>$E157*Data!AF74</f>
        <v>329.25578839854376</v>
      </c>
      <c r="AF193" s="5">
        <f>$E157*Data!AG74</f>
        <v>328.93432945152244</v>
      </c>
      <c r="AG193" s="5">
        <f>$E157*Data!AH74</f>
        <v>328.91087126165291</v>
      </c>
      <c r="AH193" s="5">
        <f>$E157*Data!AI74</f>
        <v>328.34436723116164</v>
      </c>
      <c r="AI193" s="5">
        <f>$E157*Data!AJ74</f>
        <v>328.59566485851053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About</vt:lpstr>
      <vt:lpstr>METHOD</vt:lpstr>
      <vt:lpstr>Refineries</vt:lpstr>
      <vt:lpstr>Pipelines &amp; Military</vt:lpstr>
      <vt:lpstr>AEO Table 73</vt:lpstr>
      <vt:lpstr>TX O&amp;G</vt:lpstr>
      <vt:lpstr>TX Renewables</vt:lpstr>
      <vt:lpstr>NREL by NAICS</vt:lpstr>
      <vt:lpstr>Mining Breakdown</vt:lpstr>
      <vt:lpstr>EPS Natl Trends</vt:lpstr>
      <vt:lpstr>Data</vt:lpstr>
      <vt:lpstr>TX SEDS</vt:lpstr>
      <vt:lpstr>TX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ag_percent</vt:lpstr>
      <vt:lpstr>coal_scale</vt:lpstr>
      <vt:lpstr>elec_scale</vt:lpstr>
      <vt:lpstr>FO_scale</vt:lpstr>
      <vt:lpstr>fueloil_scale</vt:lpstr>
      <vt:lpstr>LPG_scale</vt:lpstr>
      <vt:lpstr>NG_scale</vt:lpstr>
      <vt:lpstr>PD_scale</vt:lpstr>
      <vt:lpstr>wood_scale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2014-03-20T21:01:41Z</dcterms:created>
  <dcterms:modified xsi:type="dcterms:W3CDTF">2021-05-19T22:45:10Z</dcterms:modified>
</cp:coreProperties>
</file>