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C:\Users\olivia\Dropbox (Energy Innovation)\Documents\EPS_Models by Region\Texas\InputData\elec\BPMCCS\"/>
    </mc:Choice>
  </mc:AlternateContent>
  <xr:revisionPtr revIDLastSave="0" documentId="8_{7E420A64-E039-4ADF-8CA4-BAADE05C9513}" xr6:coauthVersionLast="45" xr6:coauthVersionMax="45" xr10:uidLastSave="{00000000-0000-0000-0000-000000000000}"/>
  <bookViews>
    <workbookView xWindow="44565" yWindow="795" windowWidth="13830" windowHeight="13455" activeTab="1" xr2:uid="{00000000-000D-0000-FFFF-FFFF00000000}"/>
  </bookViews>
  <sheets>
    <sheet name="About" sheetId="1" r:id="rId1"/>
    <sheet name="Texas Notes" sheetId="3" r:id="rId2"/>
    <sheet name="BPMCC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2" i="2" l="1"/>
  <c r="G12" i="2"/>
  <c r="F12" i="2"/>
  <c r="E12" i="2"/>
  <c r="D12" i="2"/>
  <c r="C12" i="2"/>
  <c r="B12" i="2"/>
  <c r="H3" i="2"/>
  <c r="G3" i="2"/>
  <c r="C3" i="2"/>
  <c r="H50" i="3"/>
  <c r="D3" i="2" s="1"/>
  <c r="G48" i="3"/>
  <c r="B7" i="2" s="1"/>
  <c r="H48" i="3"/>
  <c r="B3" i="2" s="1"/>
  <c r="G49" i="3"/>
  <c r="C7" i="2" s="1"/>
  <c r="G50" i="3"/>
  <c r="D7" i="2" s="1"/>
  <c r="G51" i="3"/>
  <c r="E7" i="2" s="1"/>
  <c r="H51" i="3"/>
  <c r="E3" i="2" s="1"/>
  <c r="G52" i="3"/>
  <c r="F7" i="2" s="1"/>
  <c r="H52" i="3"/>
  <c r="F3" i="2" s="1"/>
  <c r="F49" i="3"/>
  <c r="C6" i="2" s="1"/>
  <c r="F50" i="3"/>
  <c r="D6" i="2" s="1"/>
  <c r="F51" i="3"/>
  <c r="E6" i="2" s="1"/>
  <c r="F52" i="3"/>
  <c r="F6" i="2" s="1"/>
  <c r="F48" i="3"/>
  <c r="B6" i="2" s="1"/>
  <c r="P29" i="3"/>
  <c r="P28" i="3"/>
  <c r="O28" i="3"/>
  <c r="H29" i="3"/>
  <c r="G28" i="3"/>
  <c r="M26" i="3"/>
  <c r="K24" i="3"/>
  <c r="L24" i="3" s="1"/>
  <c r="I26" i="3"/>
  <c r="E26" i="3"/>
  <c r="D26" i="3"/>
  <c r="D29" i="3" s="1"/>
  <c r="Q25" i="3"/>
  <c r="M25" i="3"/>
  <c r="H25" i="3"/>
  <c r="H28" i="3" s="1"/>
  <c r="I25" i="3"/>
  <c r="E25" i="3"/>
  <c r="D25" i="3"/>
  <c r="D28" i="3" s="1"/>
  <c r="C25" i="3"/>
  <c r="C28" i="3" s="1"/>
  <c r="B17" i="3"/>
  <c r="C17" i="3" s="1"/>
  <c r="B16" i="3"/>
  <c r="C16" i="3" s="1"/>
  <c r="D15" i="3"/>
  <c r="C15" i="3"/>
  <c r="B15" i="3"/>
  <c r="D14" i="3"/>
  <c r="C14" i="3"/>
  <c r="B14" i="3"/>
  <c r="B32" i="3" l="1"/>
  <c r="F54" i="3" s="1"/>
  <c r="H6" i="2" s="1"/>
  <c r="F32" i="3"/>
  <c r="G53" i="3" s="1"/>
  <c r="G7" i="2" s="1"/>
  <c r="L28" i="3"/>
  <c r="L29" i="3"/>
  <c r="K28" i="3"/>
  <c r="F53" i="3" l="1"/>
  <c r="G6" i="2" s="1"/>
  <c r="G54" i="3"/>
  <c r="H7" i="2" s="1"/>
</calcChain>
</file>

<file path=xl/sharedStrings.xml><?xml version="1.0" encoding="utf-8"?>
<sst xmlns="http://schemas.openxmlformats.org/spreadsheetml/2006/main" count="89" uniqueCount="77">
  <si>
    <t>Note:</t>
  </si>
  <si>
    <t>BPMCCS BAU Policy Mandated Capacity Construction Schedule</t>
  </si>
  <si>
    <t>The purpose of this variable is to specify the electricity generating capacity</t>
  </si>
  <si>
    <t>in MW that will be built each year in the BAU case before the model considers</t>
  </si>
  <si>
    <t>what else to build in order to satisfy demand, satisfy an RPS (in the policy</t>
  </si>
  <si>
    <t>case), etc.</t>
  </si>
  <si>
    <t>Sources:</t>
  </si>
  <si>
    <t>none needed</t>
  </si>
  <si>
    <t>The United States does not have any mandated capacity targets in the BAU</t>
  </si>
  <si>
    <t>case, so we set this variable to zero.</t>
  </si>
  <si>
    <t>Mandated Construction (MW)</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</si>
  <si>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</si>
  <si>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</si>
  <si>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</si>
  <si>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</si>
  <si>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</si>
  <si>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</si>
  <si>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</si>
  <si>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</si>
  <si>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</si>
  <si>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</si>
  <si>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</si>
  <si>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</si>
  <si>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</si>
  <si>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</si>
  <si>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</si>
  <si>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</si>
  <si>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I tried to find a list of Texas project that are already under construction and are planning to come online by a specific date</t>
  </si>
  <si>
    <t>Year</t>
  </si>
  <si>
    <t>Type</t>
  </si>
  <si>
    <t>Capacity (MW)</t>
  </si>
  <si>
    <t>Name</t>
  </si>
  <si>
    <t>Source</t>
  </si>
  <si>
    <t>https://www.constructiondive.com/news/mcdermott-gets-go-ahead-for-937m-texas-power-plant/538507/</t>
  </si>
  <si>
    <t>NGCC</t>
  </si>
  <si>
    <t>Entergy Willis</t>
  </si>
  <si>
    <t>One useful report is the ERCOT Generation Interconnection Status (GIS).</t>
  </si>
  <si>
    <t>This data shows potential power plant construction projects whose investors have requested to connect to the ERCOT grid.</t>
  </si>
  <si>
    <t>Many power plants don't make it through the screening stages. And some that get approved are never built, but the list of</t>
  </si>
  <si>
    <t>approved power plants gives us some idea of what's in store</t>
  </si>
  <si>
    <t>http://www.ercot.com/content/wcm/lists/197386/Capacity_Changes_by_Fuel_Type_Charts_May_2020.xlsx</t>
  </si>
  <si>
    <t>Wind</t>
  </si>
  <si>
    <t>Solar</t>
  </si>
  <si>
    <t>NGGT</t>
  </si>
  <si>
    <t>They make a monthly summary of which parts of the GIS is most likely to be built (i.e. projects that have been approved for synchronization and/or have posted financial security)</t>
  </si>
  <si>
    <t>Total Cumulative Additions</t>
  </si>
  <si>
    <t>May 2020 ERCOT GIS</t>
  </si>
  <si>
    <t>For reference, it may be useful to look at old GIS reports and see how much was actually built</t>
  </si>
  <si>
    <t>Actual</t>
  </si>
  <si>
    <t>Aug_2018_GIS</t>
  </si>
  <si>
    <t>Total Capacity</t>
  </si>
  <si>
    <t>Wind Total Capacity</t>
  </si>
  <si>
    <t>Solar Total Capacity</t>
  </si>
  <si>
    <t>NGCC Total Capacity</t>
  </si>
  <si>
    <t>NGGT Total Capacity</t>
  </si>
  <si>
    <t>May_2019_GIS</t>
  </si>
  <si>
    <t>ERROR</t>
  </si>
  <si>
    <t>INTERPRETATION</t>
  </si>
  <si>
    <t>Wind capacity additions are overprojected by</t>
  </si>
  <si>
    <t>on average.</t>
  </si>
  <si>
    <t>Solar capacity additions are overprojected by</t>
  </si>
  <si>
    <t>on average</t>
  </si>
  <si>
    <t>NGCC capacity additions are projected but have</t>
  </si>
  <si>
    <t>not yet been built.</t>
  </si>
  <si>
    <t>NGGT capacity additions are projected, but retirements</t>
  </si>
  <si>
    <t>mean that capacity actually decreases in some years.</t>
  </si>
  <si>
    <t>PLAN</t>
  </si>
  <si>
    <t>Let NGCC and NGGT be 0. Their projected growth is already very small (313MW, 470MW) and historical data suggest that these projections are inconsistent with what actually happens, and that neither technology is changing much.</t>
  </si>
  <si>
    <t>Assume that WIND projections are optimistic by 255%--i.e., that only 39% of the projected capacity will be built</t>
  </si>
  <si>
    <t>Assume that WIND projections are optimistic by 193%--i.e., that only 52% of the projected capacity will be built</t>
  </si>
  <si>
    <t>Assume that for 2022 and beyond we have no idea.</t>
  </si>
  <si>
    <t>So, combining those assumptions with historical numbers, we get</t>
  </si>
  <si>
    <t>Capacity Additions</t>
  </si>
  <si>
    <t>*since NGGT loses capacity over 2014--2019, let's just leave all of the values as zero</t>
  </si>
  <si>
    <t>*since NGCC loses capacity in 2016, let's just lump that in with the capacity gains in 2017 to have a net positive number</t>
  </si>
  <si>
    <t>?</t>
  </si>
  <si>
    <t>I was also able to find one Texas construction project that is outside of ERCOT (in SPP in east 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</si>
</sst>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15">
    <xf numFmtId="0" fontId="0" fillId="0" borderId="0" xfId="0"/>
    <xf numFmtId="0" fontId="1" fillId="0" borderId="0" xfId="0" applyFont="1"/>
    <xf numFmtId="0" fontId="0" fillId="0" borderId="0" xfId="0" applyFont="1"/>
    <xf numFmtId="0" fontId="0" fillId="0" borderId="0" xfId="0" applyFont="1" applyFill="1"/>
    <xf numFmtId="0" fontId="3" fillId="0" borderId="0" xfId="2"/>
    <xf numFmtId="0" fontId="0" fillId="0" borderId="0" xfId="0" applyAlignment="1">
      <alignment horizontal="center"/>
    </xf>
    <xf numFmtId="0" fontId="0" fillId="0" borderId="0" xfId="0" applyAlignment="1">
      <alignment horizontal="center"/>
    </xf>
    <xf numFmtId="9" fontId="0" fillId="0" borderId="0" xfId="1" applyFont="1"/>
    <xf numFmtId="9" fontId="0" fillId="0" borderId="0" xfId="0" applyNumberFormat="1"/>
    <xf numFmtId="0" fontId="0" fillId="0" borderId="0" xfId="0" applyAlignment="1">
      <alignment horizontal="right"/>
    </xf>
    <xf numFmtId="1" fontId="0" fillId="0" borderId="0" xfId="0" applyNumberFormat="1"/>
    <xf numFmtId="1" fontId="0" fillId="0" borderId="0" xfId="0" applyNumberFormat="1" applyAlignment="1">
      <alignment horizontal="center"/>
    </xf>
    <xf numFmtId="0" fontId="0" fillId="2" borderId="0" xfId="0" applyFill="1"/>
    <xf numFmtId="0" fontId="1" fillId="0" borderId="0" xfId="0" applyFont="1" applyAlignment="1">
      <alignment horizontal="center"/>
    </xf>
    <xf numFmtId="0" fontId="0" fillId="0" borderId="0" xfId="0"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ercot.com/content/wcm/lists/197386/Capacity_Changes_by_Fuel_Type_Charts_May_2020.xlsx" TargetMode="External"/><Relationship Id="rId1" Type="http://schemas.openxmlformats.org/officeDocument/2006/relationships/hyperlink" Target="https://www.constructiondive.com/news/mcdermott-gets-go-ahead-for-937m-texas-power-plant/5385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heetViews>
  <sheetFormatPr defaultRowHeight="14.25" x14ac:dyDescent="0.45"/>
  <cols>
    <col min="2" max="2" width="67.1328125" customWidth="1"/>
  </cols>
  <sheetData>
    <row r="1" spans="1:2" x14ac:dyDescent="0.45">
      <c r="A1" s="1" t="s">
        <v>1</v>
      </c>
    </row>
    <row r="3" spans="1:2" x14ac:dyDescent="0.45">
      <c r="A3" s="1" t="s">
        <v>6</v>
      </c>
      <c r="B3" s="3" t="s">
        <v>7</v>
      </c>
    </row>
    <row r="4" spans="1:2" x14ac:dyDescent="0.45">
      <c r="A4" s="2"/>
    </row>
    <row r="5" spans="1:2" x14ac:dyDescent="0.45">
      <c r="A5" s="1" t="s">
        <v>0</v>
      </c>
    </row>
    <row r="6" spans="1:2" x14ac:dyDescent="0.45">
      <c r="A6" s="2" t="s">
        <v>2</v>
      </c>
    </row>
    <row r="7" spans="1:2" x14ac:dyDescent="0.45">
      <c r="A7" s="2" t="s">
        <v>3</v>
      </c>
    </row>
    <row r="8" spans="1:2" x14ac:dyDescent="0.45">
      <c r="A8" s="2" t="s">
        <v>4</v>
      </c>
    </row>
    <row r="9" spans="1:2" x14ac:dyDescent="0.45">
      <c r="A9" s="2" t="s">
        <v>5</v>
      </c>
    </row>
    <row r="10" spans="1:2" x14ac:dyDescent="0.45">
      <c r="A10" s="2"/>
    </row>
    <row r="11" spans="1:2" x14ac:dyDescent="0.45">
      <c r="A11" s="2" t="s">
        <v>8</v>
      </c>
    </row>
    <row r="12" spans="1:2" x14ac:dyDescent="0.45">
      <c r="A12" s="2" t="s">
        <v>9</v>
      </c>
    </row>
    <row r="13" spans="1:2" x14ac:dyDescent="0.45">
      <c r="A13" s="2"/>
    </row>
    <row r="14" spans="1:2" x14ac:dyDescent="0.45">
      <c r="A14" s="2"/>
    </row>
    <row r="15" spans="1:2" x14ac:dyDescent="0.45">
      <c r="A15" s="2"/>
    </row>
    <row r="16" spans="1:2" x14ac:dyDescent="0.45">
      <c r="A16" s="2"/>
    </row>
    <row r="17" spans="1:1" x14ac:dyDescent="0.45">
      <c r="A17" s="2"/>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9DDC7-9990-4C5C-A8AE-B8E405223B28}">
  <dimension ref="A1:Q56"/>
  <sheetViews>
    <sheetView tabSelected="1" topLeftCell="A28" workbookViewId="0">
      <selection activeCell="J50" sqref="J50"/>
    </sheetView>
  </sheetViews>
  <sheetFormatPr defaultRowHeight="14.25" x14ac:dyDescent="0.45"/>
  <cols>
    <col min="1" max="1" width="18.59765625" customWidth="1"/>
    <col min="2" max="17" width="10.59765625" customWidth="1"/>
  </cols>
  <sheetData>
    <row r="1" spans="1:4" x14ac:dyDescent="0.45">
      <c r="A1" t="s">
        <v>27</v>
      </c>
    </row>
    <row r="3" spans="1:4" x14ac:dyDescent="0.45">
      <c r="A3" t="s">
        <v>36</v>
      </c>
    </row>
    <row r="4" spans="1:4" x14ac:dyDescent="0.45">
      <c r="A4" t="s">
        <v>37</v>
      </c>
    </row>
    <row r="5" spans="1:4" x14ac:dyDescent="0.45">
      <c r="A5" t="s">
        <v>38</v>
      </c>
    </row>
    <row r="6" spans="1:4" x14ac:dyDescent="0.45">
      <c r="A6" t="s">
        <v>39</v>
      </c>
    </row>
    <row r="8" spans="1:4" x14ac:dyDescent="0.45">
      <c r="A8" t="s">
        <v>44</v>
      </c>
    </row>
    <row r="9" spans="1:4" x14ac:dyDescent="0.45">
      <c r="A9" s="4" t="s">
        <v>40</v>
      </c>
    </row>
    <row r="11" spans="1:4" x14ac:dyDescent="0.45">
      <c r="B11" t="s">
        <v>46</v>
      </c>
    </row>
    <row r="12" spans="1:4" x14ac:dyDescent="0.45">
      <c r="B12" s="14" t="s">
        <v>45</v>
      </c>
      <c r="C12" s="14"/>
      <c r="D12" s="14"/>
    </row>
    <row r="13" spans="1:4" x14ac:dyDescent="0.45">
      <c r="B13" s="1">
        <v>2020</v>
      </c>
      <c r="C13" s="1">
        <v>2021</v>
      </c>
      <c r="D13" s="1">
        <v>2022</v>
      </c>
    </row>
    <row r="14" spans="1:4" x14ac:dyDescent="0.45">
      <c r="A14" t="s">
        <v>41</v>
      </c>
      <c r="B14">
        <f>3567+3196</f>
        <v>6763</v>
      </c>
      <c r="C14">
        <f>3196+7018</f>
        <v>10214</v>
      </c>
      <c r="D14">
        <f>3196+7272</f>
        <v>10468</v>
      </c>
    </row>
    <row r="15" spans="1:4" x14ac:dyDescent="0.45">
      <c r="A15" t="s">
        <v>42</v>
      </c>
      <c r="B15">
        <f>1057+2053</f>
        <v>3110</v>
      </c>
      <c r="C15">
        <f>1057+7379</f>
        <v>8436</v>
      </c>
      <c r="D15">
        <f>8554+1057</f>
        <v>9611</v>
      </c>
    </row>
    <row r="16" spans="1:4" x14ac:dyDescent="0.45">
      <c r="A16" t="s">
        <v>34</v>
      </c>
      <c r="B16">
        <f>316+1-4</f>
        <v>313</v>
      </c>
      <c r="C16">
        <f>B16</f>
        <v>313</v>
      </c>
    </row>
    <row r="17" spans="1:17" x14ac:dyDescent="0.45">
      <c r="A17" t="s">
        <v>43</v>
      </c>
      <c r="B17">
        <f>96+374</f>
        <v>470</v>
      </c>
      <c r="C17">
        <f>B17</f>
        <v>470</v>
      </c>
    </row>
    <row r="20" spans="1:17" x14ac:dyDescent="0.45">
      <c r="A20" t="s">
        <v>47</v>
      </c>
    </row>
    <row r="22" spans="1:17" x14ac:dyDescent="0.45">
      <c r="B22" s="13" t="s">
        <v>51</v>
      </c>
      <c r="C22" s="13"/>
      <c r="D22" s="13"/>
      <c r="E22" s="13"/>
      <c r="F22" s="13" t="s">
        <v>52</v>
      </c>
      <c r="G22" s="13"/>
      <c r="H22" s="13"/>
      <c r="I22" s="13"/>
      <c r="J22" s="13" t="s">
        <v>53</v>
      </c>
      <c r="K22" s="13"/>
      <c r="L22" s="13"/>
      <c r="M22" s="13"/>
      <c r="N22" s="13" t="s">
        <v>54</v>
      </c>
      <c r="O22" s="13"/>
      <c r="P22" s="13"/>
      <c r="Q22" s="13"/>
    </row>
    <row r="23" spans="1:17" x14ac:dyDescent="0.45">
      <c r="B23" s="1">
        <v>2017</v>
      </c>
      <c r="C23" s="1">
        <v>2018</v>
      </c>
      <c r="D23" s="1">
        <v>2019</v>
      </c>
      <c r="E23" s="1">
        <v>2020</v>
      </c>
      <c r="F23" s="1">
        <v>2017</v>
      </c>
      <c r="G23" s="1">
        <v>2018</v>
      </c>
      <c r="H23" s="1">
        <v>2019</v>
      </c>
      <c r="I23" s="1">
        <v>2020</v>
      </c>
      <c r="J23" s="1">
        <v>2017</v>
      </c>
      <c r="K23" s="1">
        <v>2018</v>
      </c>
      <c r="L23" s="1">
        <v>2019</v>
      </c>
      <c r="M23" s="1">
        <v>2020</v>
      </c>
      <c r="N23" s="1">
        <v>2017</v>
      </c>
      <c r="O23" s="1">
        <v>2018</v>
      </c>
      <c r="P23" s="1">
        <v>2019</v>
      </c>
      <c r="Q23" s="1">
        <v>2020</v>
      </c>
    </row>
    <row r="24" spans="1:17" x14ac:dyDescent="0.45">
      <c r="A24" t="s">
        <v>48</v>
      </c>
      <c r="B24">
        <v>20582</v>
      </c>
      <c r="C24">
        <v>21751</v>
      </c>
      <c r="D24">
        <v>23860</v>
      </c>
      <c r="F24">
        <v>1069</v>
      </c>
      <c r="G24">
        <v>1858</v>
      </c>
      <c r="H24">
        <v>2281</v>
      </c>
      <c r="J24">
        <v>35959</v>
      </c>
      <c r="K24">
        <f>J24</f>
        <v>35959</v>
      </c>
      <c r="L24">
        <f>K24</f>
        <v>35959</v>
      </c>
      <c r="N24">
        <v>18900</v>
      </c>
      <c r="O24">
        <v>19718</v>
      </c>
      <c r="P24">
        <v>19492</v>
      </c>
    </row>
    <row r="25" spans="1:17" x14ac:dyDescent="0.45">
      <c r="A25" t="s">
        <v>49</v>
      </c>
      <c r="C25">
        <f>23112-7</f>
        <v>23105</v>
      </c>
      <c r="D25">
        <f>31534-3770</f>
        <v>27764</v>
      </c>
      <c r="E25">
        <f>33270-4700</f>
        <v>28570</v>
      </c>
      <c r="G25">
        <v>1756</v>
      </c>
      <c r="H25">
        <f>4052-1436</f>
        <v>2616</v>
      </c>
      <c r="I25">
        <f>4439-1622</f>
        <v>2817</v>
      </c>
      <c r="K25">
        <v>35477</v>
      </c>
      <c r="L25">
        <v>35488</v>
      </c>
      <c r="M25">
        <f>37759-2271</f>
        <v>35488</v>
      </c>
      <c r="O25">
        <v>19773</v>
      </c>
      <c r="P25">
        <v>19869</v>
      </c>
      <c r="Q25">
        <f>20267-398</f>
        <v>19869</v>
      </c>
    </row>
    <row r="26" spans="1:17" x14ac:dyDescent="0.45">
      <c r="A26" t="s">
        <v>55</v>
      </c>
      <c r="D26">
        <f>27592-260</f>
        <v>27332</v>
      </c>
      <c r="E26">
        <f>35819-4136</f>
        <v>31683</v>
      </c>
      <c r="H26">
        <v>3182</v>
      </c>
      <c r="I26">
        <f>7376-2174</f>
        <v>5202</v>
      </c>
      <c r="L26">
        <v>35736</v>
      </c>
      <c r="M26">
        <f>L26</f>
        <v>35736</v>
      </c>
      <c r="P26">
        <v>19880</v>
      </c>
      <c r="Q26">
        <v>19880</v>
      </c>
    </row>
    <row r="28" spans="1:17" x14ac:dyDescent="0.45">
      <c r="A28" t="s">
        <v>56</v>
      </c>
      <c r="C28" s="7">
        <f>(C25-B24)/(C24-B24)</f>
        <v>2.1582549187339608</v>
      </c>
      <c r="D28" s="7">
        <f>(D25-C24)/(D24-C24)</f>
        <v>2.8511142721669036</v>
      </c>
      <c r="G28" s="7">
        <f>(G25-F24)/(G24-F24)</f>
        <v>0.87072243346007605</v>
      </c>
      <c r="H28" s="7">
        <f>(H25-G24)/(H24-G24)</f>
        <v>1.7919621749408983</v>
      </c>
      <c r="K28" s="7" t="e">
        <f>(K25-J24)/(K24-J24)</f>
        <v>#DIV/0!</v>
      </c>
      <c r="L28" s="7" t="e">
        <f>(L25-K24)/(L24-K24)</f>
        <v>#DIV/0!</v>
      </c>
      <c r="O28" s="7">
        <f>(O25-N24)/(O24-N24)</f>
        <v>1.0672371638141809</v>
      </c>
      <c r="P28" s="7">
        <f>(P25-O24)/(P24-O24)</f>
        <v>-0.66814159292035402</v>
      </c>
    </row>
    <row r="29" spans="1:17" x14ac:dyDescent="0.45">
      <c r="D29" s="7">
        <f>(D26-C24)/(D24-C24)</f>
        <v>2.6462778568041725</v>
      </c>
      <c r="H29" s="7">
        <f>(H26-G24)/(H24-G24)</f>
        <v>3.1300236406619386</v>
      </c>
      <c r="L29" s="7" t="e">
        <f>(L26-K24)/(L24-K24)</f>
        <v>#DIV/0!</v>
      </c>
      <c r="P29" s="7">
        <f>(P26-O24)/(P24-O24)</f>
        <v>-0.7168141592920354</v>
      </c>
    </row>
    <row r="31" spans="1:17" x14ac:dyDescent="0.45">
      <c r="A31" t="s">
        <v>57</v>
      </c>
      <c r="B31" t="s">
        <v>58</v>
      </c>
      <c r="F31" t="s">
        <v>60</v>
      </c>
      <c r="J31" t="s">
        <v>62</v>
      </c>
      <c r="N31" t="s">
        <v>64</v>
      </c>
    </row>
    <row r="32" spans="1:17" x14ac:dyDescent="0.45">
      <c r="B32" s="8">
        <f>AVERAGE(C28:D29)</f>
        <v>2.551882349235012</v>
      </c>
      <c r="C32" t="s">
        <v>59</v>
      </c>
      <c r="F32" s="8">
        <f>AVERAGE(G28:H29)</f>
        <v>1.9309027496876379</v>
      </c>
      <c r="G32" t="s">
        <v>61</v>
      </c>
      <c r="J32" t="s">
        <v>63</v>
      </c>
      <c r="N32" t="s">
        <v>65</v>
      </c>
    </row>
    <row r="33" spans="1:11" x14ac:dyDescent="0.45">
      <c r="B33" s="8"/>
      <c r="F33" s="8"/>
    </row>
    <row r="34" spans="1:11" x14ac:dyDescent="0.45">
      <c r="A34" t="s">
        <v>66</v>
      </c>
      <c r="B34" s="8" t="s">
        <v>67</v>
      </c>
      <c r="F34" s="8"/>
    </row>
    <row r="35" spans="1:11" x14ac:dyDescent="0.45">
      <c r="B35" t="s">
        <v>68</v>
      </c>
    </row>
    <row r="36" spans="1:11" x14ac:dyDescent="0.45">
      <c r="B36" t="s">
        <v>69</v>
      </c>
    </row>
    <row r="37" spans="1:11" x14ac:dyDescent="0.45">
      <c r="B37" s="8" t="s">
        <v>70</v>
      </c>
    </row>
    <row r="38" spans="1:11" x14ac:dyDescent="0.45">
      <c r="B38" s="8"/>
    </row>
    <row r="39" spans="1:11" x14ac:dyDescent="0.45">
      <c r="A39" t="s">
        <v>76</v>
      </c>
      <c r="F39" s="6"/>
      <c r="G39" s="11"/>
      <c r="H39" s="9"/>
      <c r="I39" s="9"/>
    </row>
    <row r="40" spans="1:11" x14ac:dyDescent="0.45">
      <c r="A40" t="s">
        <v>28</v>
      </c>
      <c r="B40" t="s">
        <v>29</v>
      </c>
      <c r="C40" t="s">
        <v>30</v>
      </c>
      <c r="D40" t="s">
        <v>31</v>
      </c>
      <c r="E40" t="s">
        <v>32</v>
      </c>
    </row>
    <row r="41" spans="1:11" x14ac:dyDescent="0.45">
      <c r="A41" s="12">
        <v>2021</v>
      </c>
      <c r="B41" s="12" t="s">
        <v>34</v>
      </c>
      <c r="C41" s="12">
        <v>993</v>
      </c>
      <c r="D41" s="12" t="s">
        <v>35</v>
      </c>
      <c r="E41" s="4" t="s">
        <v>33</v>
      </c>
    </row>
    <row r="42" spans="1:11" x14ac:dyDescent="0.45">
      <c r="E42" s="4"/>
    </row>
    <row r="44" spans="1:11" x14ac:dyDescent="0.45">
      <c r="A44" t="s">
        <v>71</v>
      </c>
    </row>
    <row r="45" spans="1:11" x14ac:dyDescent="0.45">
      <c r="B45" s="14" t="s">
        <v>50</v>
      </c>
      <c r="C45" s="14"/>
      <c r="D45" s="14"/>
      <c r="E45" s="14"/>
      <c r="F45" s="14" t="s">
        <v>72</v>
      </c>
      <c r="G45" s="14"/>
      <c r="H45" s="14"/>
      <c r="I45" s="14"/>
    </row>
    <row r="46" spans="1:11" x14ac:dyDescent="0.45">
      <c r="B46" s="5" t="s">
        <v>41</v>
      </c>
      <c r="C46" s="5" t="s">
        <v>42</v>
      </c>
      <c r="D46" s="5" t="s">
        <v>34</v>
      </c>
      <c r="E46" s="5" t="s">
        <v>43</v>
      </c>
      <c r="F46" s="5" t="s">
        <v>41</v>
      </c>
      <c r="G46" s="5" t="s">
        <v>42</v>
      </c>
      <c r="H46" s="5" t="s">
        <v>34</v>
      </c>
      <c r="I46" s="5" t="s">
        <v>43</v>
      </c>
    </row>
    <row r="47" spans="1:11" x14ac:dyDescent="0.45">
      <c r="A47">
        <v>2014</v>
      </c>
      <c r="B47">
        <v>12470</v>
      </c>
      <c r="C47">
        <v>193</v>
      </c>
      <c r="D47">
        <v>33080</v>
      </c>
      <c r="E47">
        <v>19931</v>
      </c>
    </row>
    <row r="48" spans="1:11" x14ac:dyDescent="0.45">
      <c r="A48">
        <v>2015</v>
      </c>
      <c r="B48">
        <v>15764</v>
      </c>
      <c r="C48">
        <v>288</v>
      </c>
      <c r="D48">
        <v>33897</v>
      </c>
      <c r="E48">
        <v>18552</v>
      </c>
      <c r="F48">
        <f>B48-B47</f>
        <v>3294</v>
      </c>
      <c r="G48">
        <f t="shared" ref="G48:H52" si="0">C48-C47</f>
        <v>95</v>
      </c>
      <c r="H48">
        <f t="shared" si="0"/>
        <v>817</v>
      </c>
      <c r="I48">
        <v>0</v>
      </c>
      <c r="K48" t="s">
        <v>73</v>
      </c>
    </row>
    <row r="49" spans="1:11" x14ac:dyDescent="0.45">
      <c r="A49">
        <v>2016</v>
      </c>
      <c r="B49">
        <v>17604</v>
      </c>
      <c r="C49">
        <v>566</v>
      </c>
      <c r="D49">
        <v>33515</v>
      </c>
      <c r="E49">
        <v>19593</v>
      </c>
      <c r="F49">
        <f t="shared" ref="F49:F52" si="1">B49-B48</f>
        <v>1840</v>
      </c>
      <c r="G49">
        <f t="shared" si="0"/>
        <v>278</v>
      </c>
      <c r="H49">
        <v>0</v>
      </c>
      <c r="I49">
        <v>0</v>
      </c>
      <c r="K49" t="s">
        <v>74</v>
      </c>
    </row>
    <row r="50" spans="1:11" x14ac:dyDescent="0.45">
      <c r="A50">
        <v>2017</v>
      </c>
      <c r="B50">
        <v>20682</v>
      </c>
      <c r="C50">
        <v>1069</v>
      </c>
      <c r="D50">
        <v>35959</v>
      </c>
      <c r="E50">
        <v>18900</v>
      </c>
      <c r="F50">
        <f t="shared" si="1"/>
        <v>3078</v>
      </c>
      <c r="G50">
        <f t="shared" si="0"/>
        <v>503</v>
      </c>
      <c r="H50">
        <f>D50-D48</f>
        <v>2062</v>
      </c>
      <c r="I50">
        <v>0</v>
      </c>
    </row>
    <row r="51" spans="1:11" x14ac:dyDescent="0.45">
      <c r="A51">
        <v>2018</v>
      </c>
      <c r="B51">
        <v>21777</v>
      </c>
      <c r="C51">
        <v>1858</v>
      </c>
      <c r="D51">
        <v>35959</v>
      </c>
      <c r="E51">
        <v>19718</v>
      </c>
      <c r="F51">
        <f t="shared" si="1"/>
        <v>1095</v>
      </c>
      <c r="G51">
        <f t="shared" si="0"/>
        <v>789</v>
      </c>
      <c r="H51">
        <f t="shared" si="0"/>
        <v>0</v>
      </c>
      <c r="I51">
        <v>0</v>
      </c>
    </row>
    <row r="52" spans="1:11" x14ac:dyDescent="0.45">
      <c r="A52">
        <v>2019</v>
      </c>
      <c r="B52">
        <v>23860</v>
      </c>
      <c r="C52">
        <v>2281</v>
      </c>
      <c r="D52">
        <v>35959</v>
      </c>
      <c r="E52">
        <v>19492</v>
      </c>
      <c r="F52">
        <f t="shared" si="1"/>
        <v>2083</v>
      </c>
      <c r="G52">
        <f t="shared" si="0"/>
        <v>423</v>
      </c>
      <c r="H52">
        <f t="shared" si="0"/>
        <v>0</v>
      </c>
      <c r="I52">
        <v>0</v>
      </c>
    </row>
    <row r="53" spans="1:11" x14ac:dyDescent="0.45">
      <c r="A53">
        <v>2020</v>
      </c>
      <c r="F53" s="10">
        <f>B14/B32</f>
        <v>2650.2005478533802</v>
      </c>
      <c r="G53" s="10">
        <f>B15/$F$32</f>
        <v>1610.6455907751463</v>
      </c>
      <c r="H53">
        <v>0</v>
      </c>
      <c r="I53">
        <v>0</v>
      </c>
    </row>
    <row r="54" spans="1:11" x14ac:dyDescent="0.45">
      <c r="A54">
        <v>2021</v>
      </c>
      <c r="F54" s="10">
        <f>(C14-B14)/B32</f>
        <v>1352.3350718086672</v>
      </c>
      <c r="G54" s="10">
        <f>(C15-B15)/F32</f>
        <v>2758.2953107615531</v>
      </c>
      <c r="H54" s="12">
        <v>993</v>
      </c>
      <c r="I54">
        <v>0</v>
      </c>
    </row>
    <row r="55" spans="1:11" x14ac:dyDescent="0.45">
      <c r="A55">
        <v>2022</v>
      </c>
      <c r="F55" s="5" t="s">
        <v>75</v>
      </c>
      <c r="G55" s="11" t="s">
        <v>75</v>
      </c>
      <c r="H55" s="9" t="s">
        <v>75</v>
      </c>
      <c r="I55" s="9" t="s">
        <v>75</v>
      </c>
    </row>
    <row r="56" spans="1:11" x14ac:dyDescent="0.45">
      <c r="F56" s="6"/>
      <c r="G56" s="11"/>
      <c r="H56" s="9"/>
      <c r="I56" s="9"/>
    </row>
  </sheetData>
  <mergeCells count="7">
    <mergeCell ref="J22:M22"/>
    <mergeCell ref="N22:Q22"/>
    <mergeCell ref="B45:E45"/>
    <mergeCell ref="F45:I45"/>
    <mergeCell ref="B12:D12"/>
    <mergeCell ref="B22:E22"/>
    <mergeCell ref="F22:I22"/>
  </mergeCells>
  <hyperlinks>
    <hyperlink ref="E41" r:id="rId1" xr:uid="{42221DF8-E82E-41E0-A887-8E18CE7B8342}"/>
    <hyperlink ref="A9" r:id="rId2" xr:uid="{A086030A-F685-4134-A433-CE15050C738C}"/>
  </hyperlinks>
  <pageMargins left="0.7" right="0.7" top="0.75" bottom="0.75" header="0.3" footer="0.3"/>
  <pageSetup orientation="portrait" horizontalDpi="0"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K17"/>
  <sheetViews>
    <sheetView workbookViewId="0">
      <selection activeCell="B24" sqref="B24"/>
    </sheetView>
  </sheetViews>
  <sheetFormatPr defaultRowHeight="14.25" x14ac:dyDescent="0.45"/>
  <cols>
    <col min="1" max="1" width="29.265625" customWidth="1"/>
  </cols>
  <sheetData>
    <row r="1" spans="1:37" x14ac:dyDescent="0.45">
      <c r="A1" t="s">
        <v>10</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45">
      <c r="A2" t="s">
        <v>11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45">
      <c r="A3" t="s">
        <v>12</v>
      </c>
      <c r="B3">
        <f>'Texas Notes'!H48</f>
        <v>817</v>
      </c>
      <c r="C3">
        <f>'Texas Notes'!H49</f>
        <v>0</v>
      </c>
      <c r="D3">
        <f>'Texas Notes'!H50</f>
        <v>2062</v>
      </c>
      <c r="E3">
        <f>'Texas Notes'!H51</f>
        <v>0</v>
      </c>
      <c r="F3">
        <f>'Texas Notes'!H52</f>
        <v>0</v>
      </c>
      <c r="G3">
        <f>'Texas Notes'!H53</f>
        <v>0</v>
      </c>
      <c r="H3">
        <f>'Texas Notes'!H54</f>
        <v>993</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45">
      <c r="A4" t="s">
        <v>13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45">
      <c r="A5" t="s">
        <v>14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45">
      <c r="A6" t="s">
        <v>15</v>
      </c>
      <c r="B6">
        <f>'Texas Notes'!F48</f>
        <v>3294</v>
      </c>
      <c r="C6">
        <f>'Texas Notes'!F49</f>
        <v>1840</v>
      </c>
      <c r="D6">
        <f>'Texas Notes'!F50</f>
        <v>3078</v>
      </c>
      <c r="E6">
        <f>'Texas Notes'!F51</f>
        <v>1095</v>
      </c>
      <c r="F6">
        <f>'Texas Notes'!F52</f>
        <v>2083</v>
      </c>
      <c r="G6" s="10">
        <f>'Texas Notes'!F53</f>
        <v>2650.2005478533802</v>
      </c>
      <c r="H6" s="10">
        <f>'Texas Notes'!F54</f>
        <v>1352.3350718086672</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45">
      <c r="A7" t="s">
        <v>16</v>
      </c>
      <c r="B7">
        <f>'Texas Notes'!G48</f>
        <v>95</v>
      </c>
      <c r="C7">
        <f>'Texas Notes'!G49</f>
        <v>278</v>
      </c>
      <c r="D7">
        <f>'Texas Notes'!G50</f>
        <v>503</v>
      </c>
      <c r="E7">
        <f>'Texas Notes'!G51</f>
        <v>789</v>
      </c>
      <c r="F7">
        <f>'Texas Notes'!G52</f>
        <v>423</v>
      </c>
      <c r="G7" s="10">
        <f>'Texas Notes'!G53</f>
        <v>1610.6455907751463</v>
      </c>
      <c r="H7" s="10">
        <f>'Texas Notes'!G54</f>
        <v>2758.2953107615531</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45">
      <c r="A8" t="s">
        <v>17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45">
      <c r="A9" t="s">
        <v>18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45">
      <c r="A10" t="s">
        <v>19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45">
      <c r="A11" t="s">
        <v>20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2" spans="1:37" x14ac:dyDescent="0.45">
      <c r="A12" t="s">
        <v>21</v>
      </c>
      <c r="B12">
        <f>'Texas Notes'!I48</f>
        <v>0</v>
      </c>
      <c r="C12">
        <f>'Texas Notes'!I49</f>
        <v>0</v>
      </c>
      <c r="D12">
        <f>'Texas Notes'!I50</f>
        <v>0</v>
      </c>
      <c r="E12">
        <f>'Texas Notes'!I51</f>
        <v>0</v>
      </c>
      <c r="F12">
        <f>'Texas Notes'!I52</f>
        <v>0</v>
      </c>
      <c r="G12">
        <f>'Texas Notes'!I53</f>
        <v>0</v>
      </c>
      <c r="H12">
        <f>'Texas Notes'!I54</f>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row>
    <row r="13" spans="1:37" x14ac:dyDescent="0.45">
      <c r="A13" t="s">
        <v>22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row>
    <row r="14" spans="1:37" x14ac:dyDescent="0.45">
      <c r="A14" t="s">
        <v>23</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row>
    <row r="15" spans="1:37" x14ac:dyDescent="0.45">
      <c r="A15" t="s">
        <v>24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row>
    <row r="16" spans="1:37" x14ac:dyDescent="0.45">
      <c r="A16" t="s">
        <v>25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row>
    <row r="17" spans="1:37" x14ac:dyDescent="0.45">
      <c r="A17" t="s">
        <v>26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Texas Notes</vt:lpstr>
      <vt:lpstr>BPMCCS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2015-06-10T01:27:30Z</dcterms:created>
  <dcterms:modified xsi:type="dcterms:W3CDTF">2020-07-20T17:14:42Z</dcterms:modified>
</cp:coreProperties>
</file>