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geoeng\DACD\"/>
    </mc:Choice>
  </mc:AlternateContent>
  <xr:revisionPtr revIDLastSave="0" documentId="13_ncr:1_{44DB89F9-AA00-47A5-A09D-D6F9F4A41987}" xr6:coauthVersionLast="45" xr6:coauthVersionMax="45" xr10:uidLastSave="{00000000-0000-0000-0000-000000000000}"/>
  <bookViews>
    <workbookView xWindow="23880" yWindow="-120" windowWidth="29040" windowHeight="17640" activeTab="5" xr2:uid="{00000000-000D-0000-FFFF-FFFF00000000}"/>
  </bookViews>
  <sheets>
    <sheet name="About" sheetId="1" r:id="rId1"/>
    <sheet name="Data" sheetId="2" r:id="rId2"/>
    <sheet name="Texas Data" sheetId="8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B2" i="6" s="1"/>
  <c r="D2" i="6"/>
  <c r="AH2" i="6"/>
  <c r="AG2" i="6"/>
  <c r="AF2" i="6"/>
  <c r="AE2" i="6"/>
  <c r="AD2" i="6"/>
  <c r="AC2" i="6"/>
  <c r="AB2" i="6"/>
  <c r="AA2" i="6"/>
  <c r="Z2" i="6"/>
  <c r="X2" i="6"/>
  <c r="W2" i="6"/>
  <c r="V2" i="6"/>
  <c r="U2" i="6"/>
  <c r="T2" i="6"/>
  <c r="S2" i="6"/>
  <c r="R2" i="6"/>
  <c r="Q2" i="6"/>
  <c r="P2" i="6"/>
  <c r="N2" i="6"/>
  <c r="M2" i="6"/>
  <c r="L2" i="6"/>
  <c r="K2" i="6"/>
  <c r="J2" i="6"/>
  <c r="I2" i="6"/>
  <c r="H2" i="6"/>
  <c r="G2" i="6"/>
  <c r="F2" i="6"/>
  <c r="C2" i="5"/>
  <c r="B2" i="5" s="1"/>
  <c r="D2" i="5"/>
  <c r="AH2" i="5"/>
  <c r="AG2" i="5"/>
  <c r="AF2" i="5"/>
  <c r="AE2" i="5"/>
  <c r="AD2" i="5"/>
  <c r="AC2" i="5"/>
  <c r="AB2" i="5"/>
  <c r="AA2" i="5"/>
  <c r="Z2" i="5"/>
  <c r="X2" i="5"/>
  <c r="W2" i="5"/>
  <c r="V2" i="5"/>
  <c r="U2" i="5"/>
  <c r="T2" i="5"/>
  <c r="S2" i="5"/>
  <c r="R2" i="5"/>
  <c r="Q2" i="5"/>
  <c r="P2" i="5"/>
  <c r="N2" i="5"/>
  <c r="M2" i="5"/>
  <c r="L2" i="5"/>
  <c r="K2" i="5"/>
  <c r="J2" i="5"/>
  <c r="I2" i="5"/>
  <c r="H2" i="5"/>
  <c r="G2" i="5"/>
  <c r="F2" i="5"/>
  <c r="N2" i="3"/>
  <c r="M2" i="3"/>
  <c r="L2" i="3"/>
  <c r="K2" i="3"/>
  <c r="J2" i="3"/>
  <c r="I2" i="3"/>
  <c r="H2" i="3"/>
  <c r="G2" i="3"/>
  <c r="F2" i="3"/>
  <c r="X2" i="3"/>
  <c r="W2" i="3"/>
  <c r="V2" i="3"/>
  <c r="U2" i="3"/>
  <c r="T2" i="3"/>
  <c r="S2" i="3"/>
  <c r="R2" i="3"/>
  <c r="Q2" i="3"/>
  <c r="P2" i="3"/>
  <c r="AH2" i="3"/>
  <c r="AG2" i="3"/>
  <c r="AF2" i="3"/>
  <c r="AE2" i="3"/>
  <c r="AD2" i="3"/>
  <c r="AC2" i="3"/>
  <c r="AB2" i="3"/>
  <c r="AA2" i="3"/>
  <c r="Z2" i="3"/>
  <c r="AI2" i="3"/>
  <c r="Y2" i="3"/>
  <c r="O2" i="3"/>
  <c r="E2" i="3"/>
  <c r="AI2" i="6"/>
  <c r="Y2" i="6"/>
  <c r="O2" i="6"/>
  <c r="E2" i="6"/>
  <c r="AI2" i="5"/>
  <c r="Y2" i="5"/>
  <c r="O2" i="5"/>
  <c r="E2" i="5"/>
  <c r="C40" i="8"/>
  <c r="D40" i="8"/>
  <c r="E40" i="8"/>
  <c r="B40" i="8"/>
  <c r="E36" i="8"/>
  <c r="E37" i="8" s="1"/>
  <c r="D36" i="8"/>
  <c r="D37" i="8" s="1"/>
  <c r="C36" i="8"/>
  <c r="C37" i="8" s="1"/>
  <c r="B36" i="8"/>
  <c r="B37" i="8" s="1"/>
  <c r="C32" i="8"/>
  <c r="C33" i="8" s="1"/>
  <c r="D32" i="8"/>
  <c r="D33" i="8" s="1"/>
  <c r="E32" i="8"/>
  <c r="E33" i="8" s="1"/>
  <c r="B32" i="8"/>
  <c r="B33" i="8" s="1"/>
  <c r="C24" i="8"/>
  <c r="D24" i="8"/>
  <c r="E24" i="8"/>
  <c r="G24" i="8"/>
  <c r="B24" i="8"/>
  <c r="C46" i="8"/>
  <c r="C47" i="8" s="1"/>
  <c r="C48" i="8" s="1"/>
  <c r="C59" i="8" s="1"/>
  <c r="D46" i="8"/>
  <c r="D47" i="8" s="1"/>
  <c r="D48" i="8" s="1"/>
  <c r="D59" i="8" s="1"/>
  <c r="E46" i="8"/>
  <c r="E47" i="8" s="1"/>
  <c r="E48" i="8" s="1"/>
  <c r="E59" i="8" s="1"/>
  <c r="B46" i="8"/>
  <c r="B47" i="8" s="1"/>
  <c r="B48" i="8" s="1"/>
  <c r="B59" i="8" s="1"/>
  <c r="E26" i="8"/>
  <c r="D26" i="8"/>
  <c r="C26" i="8"/>
  <c r="B26" i="8"/>
  <c r="E25" i="8"/>
  <c r="E27" i="8" s="1"/>
  <c r="D25" i="8"/>
  <c r="D27" i="8" s="1"/>
  <c r="C25" i="8"/>
  <c r="C27" i="8" s="1"/>
  <c r="B25" i="8"/>
  <c r="B27" i="8" s="1"/>
  <c r="B28" i="8" s="1"/>
  <c r="C57" i="8"/>
  <c r="B38" i="8" l="1"/>
  <c r="C38" i="8"/>
  <c r="B41" i="8"/>
  <c r="D38" i="8"/>
  <c r="D41" i="8" s="1"/>
  <c r="E38" i="8"/>
  <c r="E41" i="8" s="1"/>
  <c r="C41" i="8"/>
  <c r="E28" i="8"/>
  <c r="D28" i="8"/>
  <c r="C28" i="8"/>
  <c r="C78" i="2" l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G4" i="5" l="1"/>
  <c r="K4" i="5"/>
  <c r="O4" i="5"/>
  <c r="S4" i="5"/>
  <c r="W4" i="5"/>
  <c r="AA4" i="5"/>
  <c r="AE4" i="5"/>
  <c r="AI4" i="5"/>
  <c r="D4" i="5"/>
  <c r="H4" i="5"/>
  <c r="L4" i="5"/>
  <c r="P4" i="5"/>
  <c r="T4" i="5"/>
  <c r="X4" i="5"/>
  <c r="AB4" i="5"/>
  <c r="AF4" i="5"/>
  <c r="E4" i="5"/>
  <c r="I4" i="5"/>
  <c r="M4" i="5"/>
  <c r="Q4" i="5"/>
  <c r="U4" i="5"/>
  <c r="Y4" i="5"/>
  <c r="AC4" i="5"/>
  <c r="AG4" i="5"/>
  <c r="C4" i="5"/>
  <c r="F4" i="5"/>
  <c r="J4" i="5"/>
  <c r="N4" i="5"/>
  <c r="R4" i="5"/>
  <c r="V4" i="5"/>
  <c r="Z4" i="5"/>
  <c r="AD4" i="5"/>
  <c r="AH4" i="5"/>
  <c r="C83" i="2"/>
  <c r="B79" i="2"/>
  <c r="B84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<sst xmlns="http://schemas.openxmlformats.org/spreadsheetml/2006/main" count="155" uniqueCount="135">
  <si>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</si>
  <si>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</si>
  <si>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</si>
  <si>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</si>
  <si>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</si>
  <si>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</si>
  <si>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</si>
  <si>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</si>
  <si>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</si>
  <si>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</si>
  <si>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</si>
  <si>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</si>
  <si>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</si>
  <si>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</si>
  <si>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</si>
  <si>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</si>
  <si>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</si>
  <si>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</si>
  <si>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</si>
  <si>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</si>
  <si>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</si>
  <si>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</si>
  <si>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</si>
  <si>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</si>
  <si>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</si>
  <si>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</si>
  <si>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</si>
  <si>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</si>
  <si>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</si>
  <si>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</si>
  <si>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</si>
  <si>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</si>
  <si>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</si>
  <si>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</si>
  <si>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</si>
  <si>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</si>
  <si>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</si>
  <si>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</si>
  <si>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</si>
  <si>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</si>
  <si>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</si>
  <si>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</si>
  <si>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</si>
  <si>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</si>
  <si>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</si>
  <si>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</si>
  <si>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</si>
  <si>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</si>
  <si>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</si>
  <si>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</si>
  <si>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</si>
  <si>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</si>
  <si>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</si>
  <si>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</si>
  <si>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</si>
  <si>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</si>
  <si>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</si>
  <si>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</si>
  <si>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</si>
  <si>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</si>
  <si>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</si>
  <si>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</si>
  <si>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</si>
  <si>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</si>
  <si>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</si>
  <si>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</si>
  <si>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</si>
  <si>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</si>
  <si>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</si>
  <si>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</si>
  <si>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</si>
  <si>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</si>
  <si>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</si>
  <si>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</si>
  <si>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</si>
  <si>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</si>
  <si>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</si>
  <si>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</si>
  <si>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</si>
  <si>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</si>
  <si>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</si>
  <si>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</si>
  <si>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</si>
  <si>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</si>
  <si>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</si>
  <si>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</si>
  <si>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</si>
  <si>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 xml:space="preserve">Here, we replace the US GDP values with the Texas GDP values. i.e., we make the same assumption that global DAC investment will be done proportionally to GDP. </t>
  </si>
  <si>
    <t>Texas GDP</t>
  </si>
  <si>
    <t>Texas GDP share</t>
  </si>
  <si>
    <t>https://www.bea.gov/data/gdp/gdp-state</t>
  </si>
  <si>
    <t>https://www.sciencedirect.com/science/article/pii/S0959652619307772</t>
  </si>
  <si>
    <t>Here's an alternative source to consider (by Fasihi)</t>
  </si>
  <si>
    <t>this source was published in the same month as the one EPS cites (by Realmonte), but it is more bullish about DAC costs and adoption</t>
  </si>
  <si>
    <t xml:space="preserve">basically, the Realmonte study assumes very little DAC by 2050 and high, constant costs. </t>
  </si>
  <si>
    <t>the Fasihi study assumes a bit more DAC adoption and costs that get lower over time.</t>
  </si>
  <si>
    <t xml:space="preserve">Realmonte Adoption (DAC1 Mtco2/yr) </t>
  </si>
  <si>
    <t>These studies both look at technologies that "ues water solutions containing hydroxide sorbents", which Realmonte calls "DAC1" and Fasihi calls "HT" (high temperature). These are the technologies described below.</t>
  </si>
  <si>
    <t>Um, this is not correct… DAC2 is clearly dominant…</t>
  </si>
  <si>
    <t>DAC1 / HT (high temperature)</t>
  </si>
  <si>
    <t>DAC2 / LT (low temperature)</t>
  </si>
  <si>
    <t>smaller scale, modular, uses amine materials bonded to a solid support, uses lower input heat which can use electricity</t>
  </si>
  <si>
    <t>larger scale, uses water solutions containing hydroxide sorbents, requires high input heat which usually means burning fuels like natural gas</t>
  </si>
  <si>
    <t xml:space="preserve">EPS only uses the Realmonte Study, but we will average the results of both studies to get something more averaged out. It turns out that Realmonte seems a bit conservative while Fasihi may be a bit optimistic. Given the large </t>
  </si>
  <si>
    <t xml:space="preserve">uncertainty in DACs, it seems prudent to consider both and take their average. </t>
  </si>
  <si>
    <t>Note that Fasihi uses 2018 Euros using a constant 1.33 USD conversion rate. So, to convert from thes 2018 Euros to 2012 USD, we multiply by (1.33*0.91)</t>
  </si>
  <si>
    <t>Fasihi (Table 6) Cap Cost $/ton (Base Case)</t>
  </si>
  <si>
    <t>Fasihi (Table 6) Cap Cost $/ton (Conservative)</t>
  </si>
  <si>
    <t>Fasihi (Table 6) Cap Cost $/ton (Average)</t>
  </si>
  <si>
    <t>Adoption Rate / Global DACs Demand</t>
  </si>
  <si>
    <t>Fasihi (Table 5) Adoption (Mtco2/yr) (Base Case)</t>
  </si>
  <si>
    <t>Fasihi (Table 5) Adoption (Mtco2/yr) (Conservative)</t>
  </si>
  <si>
    <t>Fasihi (Table 5) Adoption (Mtco2/yr) (Average)</t>
  </si>
  <si>
    <t>Note that Fasihi has "conservative" and "base case" scenarios and Realmonte often gives "high" and "low" numbers. We take the average in both cases.</t>
  </si>
  <si>
    <t>Realmonte Cap Cost $/ton (High case)</t>
  </si>
  <si>
    <t>Realmonte Cap Cost $/ton (Low case)</t>
  </si>
  <si>
    <t>Realmonte Cap Cost $/ton (Average)</t>
  </si>
  <si>
    <t>Realmonte Electricity GJ/ton (Low case)</t>
  </si>
  <si>
    <t>Realmonte Electricity GJ/ton (High case)</t>
  </si>
  <si>
    <t>Realmonte Electricity GJ/ton (Average)</t>
  </si>
  <si>
    <t>Realmonte Heat GJ/ton (Low case)</t>
  </si>
  <si>
    <t>Realmonte Heat GJ/ton (High case)</t>
  </si>
  <si>
    <t>Realmonte Heat GJ/ton (Average)</t>
  </si>
  <si>
    <t>Fasihi also provides a good argument that DAC technology calculations should focus on electrification. That is, when gas or hydrogen is used for the input heat, the sustainability or energy intensity become unattractive.</t>
  </si>
  <si>
    <t>So we will convert Realmonte's numbers, which assume nutural gas as the heat input, into electricity only.</t>
  </si>
  <si>
    <t>Realmonte Electricity btu/ton (Average)</t>
  </si>
  <si>
    <t>Realmonte Heat btu/ton (Average)</t>
  </si>
  <si>
    <t>Realmonte Total btu/ton (Average)</t>
  </si>
  <si>
    <t>Fasihi (Table 7) Energy kWh/ton</t>
  </si>
  <si>
    <t>Fasihi (Table 7) Energy btu/ton</t>
  </si>
  <si>
    <t>Average btu/ton</t>
  </si>
  <si>
    <t>Average $/ton</t>
  </si>
  <si>
    <t>Average Mt/year</t>
  </si>
  <si>
    <t>DAC1/HT: can use natural gas for heat, but we assume it will be electrified</t>
  </si>
  <si>
    <t>Texas Average Mt/year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</si>
</sst>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0" fontId="5" fillId="0" borderId="0" xfId="0" applyFont="1" applyFill="1"/>
    <xf numFmtId="2" fontId="0" fillId="0" borderId="0" xfId="0" applyNumberFormat="1"/>
    <xf numFmtId="0" fontId="0" fillId="5" borderId="0" xfId="0" applyFill="1"/>
    <xf numFmtId="0" fontId="0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" fontId="1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horizontal="right"/>
    </xf>
    <xf numFmtId="1" fontId="6" fillId="0" borderId="0" xfId="0" applyNumberFormat="1" applyFont="1"/>
    <xf numFmtId="0" fontId="8" fillId="0" borderId="0" xfId="0" applyFont="1" applyAlignment="1">
      <alignment horizontal="right"/>
    </xf>
    <xf numFmtId="0" fontId="6" fillId="0" borderId="0" xfId="0" applyFont="1"/>
    <xf numFmtId="2" fontId="6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ea.gov/data/gdp/gdp-state" TargetMode="External"/><Relationship Id="rId1" Type="http://schemas.openxmlformats.org/officeDocument/2006/relationships/hyperlink" Target="https://www.sciencedirect.com/science/article/pii/S09596526193077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D38" sqref="D38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2" x14ac:dyDescent="0.25">
      <c r="A1" s="1" t="s">
        <v>79</v>
      </c>
    </row>
    <row r="2" spans="1:2" x14ac:dyDescent="0.25">
      <c r="A2" s="1" t="s">
        <v>80</v>
      </c>
    </row>
    <row r="3" spans="1:2" x14ac:dyDescent="0.25">
      <c r="A3" s="1" t="s">
        <v>83</v>
      </c>
    </row>
    <row r="5" spans="1:2" x14ac:dyDescent="0.25">
      <c r="A5" s="1" t="s">
        <v>0</v>
      </c>
      <c r="B5" s="5" t="s">
        <v>14</v>
      </c>
    </row>
    <row r="6" spans="1:2" x14ac:dyDescent="0.25">
      <c r="B6" t="s">
        <v>15</v>
      </c>
    </row>
    <row r="7" spans="1:2" x14ac:dyDescent="0.25">
      <c r="B7" s="7">
        <v>2019</v>
      </c>
    </row>
    <row r="8" spans="1:2" x14ac:dyDescent="0.25">
      <c r="B8" t="s">
        <v>17</v>
      </c>
    </row>
    <row r="9" spans="1:2" x14ac:dyDescent="0.25">
      <c r="B9" s="6" t="s">
        <v>16</v>
      </c>
    </row>
    <row r="10" spans="1:2" x14ac:dyDescent="0.25">
      <c r="B10" t="s">
        <v>18</v>
      </c>
    </row>
    <row r="11" spans="1:2" x14ac:dyDescent="0.25">
      <c r="B11" s="6" t="s">
        <v>19</v>
      </c>
    </row>
    <row r="12" spans="1:2" x14ac:dyDescent="0.25">
      <c r="B12" t="s">
        <v>20</v>
      </c>
    </row>
    <row r="14" spans="1:2" x14ac:dyDescent="0.25">
      <c r="A14" s="1" t="s">
        <v>59</v>
      </c>
    </row>
    <row r="15" spans="1:2" x14ac:dyDescent="0.25">
      <c r="A15" t="s">
        <v>60</v>
      </c>
    </row>
    <row r="16" spans="1:2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5" spans="1:1" x14ac:dyDescent="0.25">
      <c r="A25" s="1" t="s">
        <v>86</v>
      </c>
    </row>
    <row r="26" spans="1:1" x14ac:dyDescent="0.25">
      <c r="A26" t="s">
        <v>84</v>
      </c>
    </row>
    <row r="27" spans="1:1" x14ac:dyDescent="0.25">
      <c r="A27" t="s">
        <v>85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zoomScale="115" zoomScaleNormal="115" workbookViewId="0">
      <selection activeCell="F21" sqref="F21"/>
    </sheetView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s="4" t="s">
        <v>12</v>
      </c>
    </row>
    <row r="3" spans="1:7" x14ac:dyDescent="0.25">
      <c r="A3" s="4" t="s">
        <v>11</v>
      </c>
    </row>
    <row r="4" spans="1:7" x14ac:dyDescent="0.25">
      <c r="A4" s="4"/>
    </row>
    <row r="5" spans="1:7" x14ac:dyDescent="0.25">
      <c r="A5" s="4" t="s">
        <v>25</v>
      </c>
    </row>
    <row r="7" spans="1:7" x14ac:dyDescent="0.25">
      <c r="A7" s="1" t="s">
        <v>7</v>
      </c>
    </row>
    <row r="8" spans="1:7" x14ac:dyDescent="0.25">
      <c r="A8" s="16" t="s">
        <v>82</v>
      </c>
      <c r="B8" s="17"/>
      <c r="C8" s="17"/>
      <c r="D8" s="17"/>
      <c r="E8" s="17"/>
      <c r="F8" s="17"/>
      <c r="G8" s="17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10" x14ac:dyDescent="0.25">
      <c r="A17" s="1" t="s">
        <v>2</v>
      </c>
      <c r="B17">
        <v>1.3</v>
      </c>
      <c r="C17">
        <v>0.6</v>
      </c>
    </row>
    <row r="18" spans="1:10" x14ac:dyDescent="0.25">
      <c r="A18" s="1" t="s">
        <v>3</v>
      </c>
    </row>
    <row r="20" spans="1:10" x14ac:dyDescent="0.25">
      <c r="A20" s="1" t="s">
        <v>10</v>
      </c>
    </row>
    <row r="21" spans="1:10" x14ac:dyDescent="0.25">
      <c r="A21" s="2" t="s">
        <v>9</v>
      </c>
      <c r="B21" s="3" t="s">
        <v>4</v>
      </c>
      <c r="C21" s="3" t="s">
        <v>5</v>
      </c>
    </row>
    <row r="22" spans="1:10" x14ac:dyDescent="0.25">
      <c r="A22" s="1" t="s">
        <v>1</v>
      </c>
      <c r="B22">
        <v>8.1</v>
      </c>
      <c r="C22">
        <v>7.2</v>
      </c>
    </row>
    <row r="23" spans="1:10" x14ac:dyDescent="0.25">
      <c r="A23" s="1" t="s">
        <v>2</v>
      </c>
      <c r="B23">
        <v>5.3</v>
      </c>
      <c r="C23">
        <v>4.4000000000000004</v>
      </c>
    </row>
    <row r="24" spans="1:10" x14ac:dyDescent="0.25">
      <c r="A24" s="1" t="s">
        <v>3</v>
      </c>
    </row>
    <row r="26" spans="1:10" x14ac:dyDescent="0.25">
      <c r="A26" s="1" t="s">
        <v>21</v>
      </c>
    </row>
    <row r="27" spans="1:10" x14ac:dyDescent="0.25">
      <c r="A27" s="4" t="s">
        <v>22</v>
      </c>
      <c r="F27" s="22" t="s">
        <v>98</v>
      </c>
      <c r="G27" s="22"/>
      <c r="H27" s="22"/>
      <c r="I27" s="22"/>
      <c r="J27" s="22"/>
    </row>
    <row r="28" spans="1:10" x14ac:dyDescent="0.25">
      <c r="A28" s="4" t="s">
        <v>23</v>
      </c>
    </row>
    <row r="29" spans="1:10" x14ac:dyDescent="0.25">
      <c r="A29" s="4" t="s">
        <v>24</v>
      </c>
    </row>
    <row r="51" spans="1:8" x14ac:dyDescent="0.25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5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10">
        <f>B72/B73</f>
        <v>0.24237500000000001</v>
      </c>
    </row>
    <row r="76" spans="1:8" x14ac:dyDescent="0.25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 s="9">
        <f>B64*$B$74</f>
        <v>0</v>
      </c>
      <c r="C78" s="8">
        <f>C64*$B$74</f>
        <v>8.6562499999999987E-2</v>
      </c>
      <c r="D78" s="8">
        <f t="shared" ref="C78:H79" si="1">D64*$B$74</f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5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5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5">
      <c r="A86" s="5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mergeCells count="1">
    <mergeCell ref="F27:J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6EB8-A5A6-4682-9510-E2AB00CB780B}">
  <dimension ref="A1:J59"/>
  <sheetViews>
    <sheetView topLeftCell="A20" zoomScale="115" zoomScaleNormal="115" workbookViewId="0">
      <selection activeCell="B41" sqref="B41:E41"/>
    </sheetView>
  </sheetViews>
  <sheetFormatPr defaultRowHeight="15" x14ac:dyDescent="0.25"/>
  <cols>
    <col min="1" max="1" width="46.28515625" customWidth="1"/>
    <col min="2" max="8" width="11.42578125" customWidth="1"/>
  </cols>
  <sheetData>
    <row r="1" spans="1:10" x14ac:dyDescent="0.25">
      <c r="A1" s="4" t="s">
        <v>92</v>
      </c>
    </row>
    <row r="2" spans="1:10" x14ac:dyDescent="0.25">
      <c r="A2" s="6" t="s">
        <v>91</v>
      </c>
    </row>
    <row r="3" spans="1:10" x14ac:dyDescent="0.25">
      <c r="A3" s="4" t="s">
        <v>93</v>
      </c>
    </row>
    <row r="4" spans="1:10" x14ac:dyDescent="0.25">
      <c r="A4" s="4" t="s">
        <v>94</v>
      </c>
      <c r="J4" s="6"/>
    </row>
    <row r="5" spans="1:10" x14ac:dyDescent="0.25">
      <c r="A5" s="4" t="s">
        <v>95</v>
      </c>
    </row>
    <row r="6" spans="1:10" x14ac:dyDescent="0.25">
      <c r="A6" s="4"/>
    </row>
    <row r="7" spans="1:10" x14ac:dyDescent="0.25">
      <c r="A7" s="4" t="s">
        <v>97</v>
      </c>
    </row>
    <row r="8" spans="1:10" x14ac:dyDescent="0.25">
      <c r="A8" s="21" t="s">
        <v>99</v>
      </c>
      <c r="B8" t="s">
        <v>102</v>
      </c>
    </row>
    <row r="9" spans="1:10" x14ac:dyDescent="0.25">
      <c r="A9" s="21" t="s">
        <v>100</v>
      </c>
      <c r="B9" t="s">
        <v>101</v>
      </c>
    </row>
    <row r="10" spans="1:10" x14ac:dyDescent="0.25">
      <c r="A10" s="4"/>
      <c r="J10" s="6"/>
    </row>
    <row r="11" spans="1:10" x14ac:dyDescent="0.25">
      <c r="A11" s="4" t="s">
        <v>103</v>
      </c>
      <c r="J11" s="6"/>
    </row>
    <row r="12" spans="1:10" x14ac:dyDescent="0.25">
      <c r="A12" s="4" t="s">
        <v>104</v>
      </c>
      <c r="J12" s="6"/>
    </row>
    <row r="13" spans="1:10" x14ac:dyDescent="0.25">
      <c r="A13" s="4" t="s">
        <v>113</v>
      </c>
      <c r="J13" s="6"/>
    </row>
    <row r="14" spans="1:10" x14ac:dyDescent="0.25">
      <c r="A14" s="4" t="s">
        <v>105</v>
      </c>
      <c r="J14" s="6"/>
    </row>
    <row r="15" spans="1:10" x14ac:dyDescent="0.25">
      <c r="A15" s="4"/>
      <c r="J15" s="6"/>
    </row>
    <row r="16" spans="1:10" x14ac:dyDescent="0.25">
      <c r="A16" s="4" t="s">
        <v>123</v>
      </c>
      <c r="J16" s="6"/>
    </row>
    <row r="17" spans="1:10" x14ac:dyDescent="0.25">
      <c r="A17" s="4" t="s">
        <v>124</v>
      </c>
      <c r="J17" s="6"/>
    </row>
    <row r="18" spans="1:10" x14ac:dyDescent="0.25">
      <c r="A18" s="4"/>
      <c r="J18" s="6"/>
    </row>
    <row r="19" spans="1:10" x14ac:dyDescent="0.25">
      <c r="B19" s="1" t="s">
        <v>133</v>
      </c>
      <c r="J19" s="6"/>
    </row>
    <row r="20" spans="1:10" x14ac:dyDescent="0.25">
      <c r="B20" s="1"/>
      <c r="J20" s="6"/>
    </row>
    <row r="21" spans="1:10" x14ac:dyDescent="0.25">
      <c r="A21" s="4"/>
      <c r="B21">
        <v>2020</v>
      </c>
      <c r="C21">
        <v>2030</v>
      </c>
      <c r="D21">
        <v>2040</v>
      </c>
      <c r="E21">
        <v>2050</v>
      </c>
      <c r="F21">
        <v>2060</v>
      </c>
      <c r="G21">
        <v>2100</v>
      </c>
      <c r="J21" s="6"/>
    </row>
    <row r="22" spans="1:10" x14ac:dyDescent="0.25">
      <c r="A22" s="23" t="s">
        <v>115</v>
      </c>
      <c r="B22" s="26">
        <v>180</v>
      </c>
      <c r="C22" s="26">
        <v>180</v>
      </c>
      <c r="D22" s="26">
        <v>180</v>
      </c>
      <c r="E22" s="26">
        <v>180</v>
      </c>
      <c r="F22" s="26"/>
      <c r="G22" s="26">
        <v>100</v>
      </c>
      <c r="J22" s="6"/>
    </row>
    <row r="23" spans="1:10" x14ac:dyDescent="0.25">
      <c r="A23" s="23" t="s">
        <v>114</v>
      </c>
      <c r="B23" s="26">
        <v>300</v>
      </c>
      <c r="C23" s="26">
        <v>300</v>
      </c>
      <c r="D23" s="26">
        <v>300</v>
      </c>
      <c r="E23" s="26">
        <v>300</v>
      </c>
      <c r="F23" s="26"/>
      <c r="G23" s="26">
        <v>100</v>
      </c>
      <c r="J23" s="6"/>
    </row>
    <row r="24" spans="1:10" x14ac:dyDescent="0.25">
      <c r="A24" s="21" t="s">
        <v>116</v>
      </c>
      <c r="B24">
        <f>AVERAGE(B22:B23)</f>
        <v>240</v>
      </c>
      <c r="C24">
        <f t="shared" ref="C24:G24" si="0">AVERAGE(C22:C23)</f>
        <v>240</v>
      </c>
      <c r="D24">
        <f t="shared" si="0"/>
        <v>240</v>
      </c>
      <c r="E24">
        <f t="shared" si="0"/>
        <v>240</v>
      </c>
      <c r="G24">
        <f t="shared" si="0"/>
        <v>100</v>
      </c>
      <c r="J24" s="6"/>
    </row>
    <row r="25" spans="1:10" x14ac:dyDescent="0.25">
      <c r="A25" s="23" t="s">
        <v>106</v>
      </c>
      <c r="B25" s="24">
        <f>815*(1.33*0.91)</f>
        <v>986.39450000000011</v>
      </c>
      <c r="C25" s="24">
        <f>378*(1.33*0.91)</f>
        <v>457.49340000000007</v>
      </c>
      <c r="D25" s="24">
        <f>265*(1.33*0.91)</f>
        <v>320.72950000000003</v>
      </c>
      <c r="E25" s="24">
        <f>222*(1.33*0.91)</f>
        <v>268.68660000000006</v>
      </c>
      <c r="J25" s="6"/>
    </row>
    <row r="26" spans="1:10" x14ac:dyDescent="0.25">
      <c r="A26" s="23" t="s">
        <v>107</v>
      </c>
      <c r="B26" s="24">
        <f>815*(1.33*0.91)</f>
        <v>986.39450000000011</v>
      </c>
      <c r="C26" s="24">
        <f>211*(1.33*0.91)</f>
        <v>255.37330000000003</v>
      </c>
      <c r="D26" s="24">
        <f>122*(1.33*0.91)</f>
        <v>147.65660000000003</v>
      </c>
      <c r="E26" s="24">
        <f>93*(1.33*0.91)</f>
        <v>112.55790000000002</v>
      </c>
      <c r="J26" s="6"/>
    </row>
    <row r="27" spans="1:10" x14ac:dyDescent="0.25">
      <c r="A27" s="21" t="s">
        <v>108</v>
      </c>
      <c r="B27" s="14">
        <f>AVERAGE(B25:B26)</f>
        <v>986.39450000000011</v>
      </c>
      <c r="C27" s="14">
        <f t="shared" ref="C27:E27" si="1">AVERAGE(C25:C26)</f>
        <v>356.43335000000002</v>
      </c>
      <c r="D27" s="14">
        <f t="shared" si="1"/>
        <v>234.19305000000003</v>
      </c>
      <c r="E27" s="14">
        <f t="shared" si="1"/>
        <v>190.62225000000004</v>
      </c>
      <c r="J27" s="6"/>
    </row>
    <row r="28" spans="1:10" x14ac:dyDescent="0.25">
      <c r="A28" s="28" t="s">
        <v>131</v>
      </c>
      <c r="B28" s="29">
        <f>AVERAGE(B27,B24)</f>
        <v>613.19725000000005</v>
      </c>
      <c r="C28" s="29">
        <f t="shared" ref="C28:E28" si="2">AVERAGE(C27,C24)</f>
        <v>298.21667500000001</v>
      </c>
      <c r="D28" s="29">
        <f t="shared" si="2"/>
        <v>237.09652500000001</v>
      </c>
      <c r="E28" s="29">
        <f t="shared" si="2"/>
        <v>215.311125</v>
      </c>
      <c r="J28" s="6"/>
    </row>
    <row r="29" spans="1:10" x14ac:dyDescent="0.25">
      <c r="J29" s="6"/>
    </row>
    <row r="30" spans="1:10" x14ac:dyDescent="0.25">
      <c r="A30" s="23" t="s">
        <v>117</v>
      </c>
      <c r="B30" s="8">
        <v>1.3</v>
      </c>
      <c r="C30" s="8">
        <v>1.3</v>
      </c>
      <c r="D30" s="8">
        <v>1.3</v>
      </c>
      <c r="E30" s="8">
        <v>1.3</v>
      </c>
      <c r="F30" s="8"/>
      <c r="G30" s="8"/>
      <c r="H30" s="8"/>
      <c r="J30" s="6"/>
    </row>
    <row r="31" spans="1:10" x14ac:dyDescent="0.25">
      <c r="A31" s="23" t="s">
        <v>118</v>
      </c>
      <c r="B31" s="8">
        <v>1.8</v>
      </c>
      <c r="C31" s="8">
        <v>1.8</v>
      </c>
      <c r="D31" s="8">
        <v>1.8</v>
      </c>
      <c r="E31" s="8">
        <v>1.8</v>
      </c>
      <c r="F31" s="8"/>
      <c r="G31" s="8"/>
      <c r="H31" s="8"/>
      <c r="J31" s="6"/>
    </row>
    <row r="32" spans="1:10" x14ac:dyDescent="0.25">
      <c r="A32" s="21" t="s">
        <v>119</v>
      </c>
      <c r="B32" s="8">
        <f>AVERAGE(B30:B31)</f>
        <v>1.55</v>
      </c>
      <c r="C32" s="8">
        <f t="shared" ref="C32:E32" si="3">AVERAGE(C30:C31)</f>
        <v>1.55</v>
      </c>
      <c r="D32" s="8">
        <f t="shared" si="3"/>
        <v>1.55</v>
      </c>
      <c r="E32" s="8">
        <f t="shared" si="3"/>
        <v>1.55</v>
      </c>
      <c r="F32" s="8"/>
      <c r="G32" s="8"/>
      <c r="H32" s="8"/>
      <c r="J32" s="6"/>
    </row>
    <row r="33" spans="1:10" x14ac:dyDescent="0.25">
      <c r="A33" s="21" t="s">
        <v>125</v>
      </c>
      <c r="B33" s="14">
        <f>B32*947817</f>
        <v>1469116.35</v>
      </c>
      <c r="C33" s="14">
        <f t="shared" ref="C33:E33" si="4">C32*947817</f>
        <v>1469116.35</v>
      </c>
      <c r="D33" s="14">
        <f t="shared" si="4"/>
        <v>1469116.35</v>
      </c>
      <c r="E33" s="14">
        <f t="shared" si="4"/>
        <v>1469116.35</v>
      </c>
      <c r="F33" s="8"/>
      <c r="G33" s="8"/>
      <c r="H33" s="8"/>
      <c r="J33" s="6"/>
    </row>
    <row r="34" spans="1:10" x14ac:dyDescent="0.25">
      <c r="A34" s="23" t="s">
        <v>120</v>
      </c>
      <c r="B34" s="8">
        <v>5.3</v>
      </c>
      <c r="C34" s="8">
        <v>5.3</v>
      </c>
      <c r="D34" s="8">
        <v>5.3</v>
      </c>
      <c r="E34" s="8">
        <v>5.3</v>
      </c>
      <c r="F34" s="8"/>
      <c r="G34" s="8"/>
      <c r="H34" s="8"/>
      <c r="J34" s="6"/>
    </row>
    <row r="35" spans="1:10" x14ac:dyDescent="0.25">
      <c r="A35" s="23" t="s">
        <v>121</v>
      </c>
      <c r="B35" s="8">
        <v>8.1</v>
      </c>
      <c r="C35" s="8">
        <v>8.1</v>
      </c>
      <c r="D35" s="8">
        <v>8.1</v>
      </c>
      <c r="E35" s="8">
        <v>8.1</v>
      </c>
      <c r="F35" s="8"/>
      <c r="G35" s="8"/>
      <c r="H35" s="8"/>
      <c r="J35" s="6"/>
    </row>
    <row r="36" spans="1:10" x14ac:dyDescent="0.25">
      <c r="A36" s="21" t="s">
        <v>122</v>
      </c>
      <c r="B36" s="8">
        <f>AVERAGE(B34:B35)</f>
        <v>6.6999999999999993</v>
      </c>
      <c r="C36" s="8">
        <f t="shared" ref="C36" si="5">AVERAGE(C34:C35)</f>
        <v>6.6999999999999993</v>
      </c>
      <c r="D36" s="8">
        <f t="shared" ref="D36" si="6">AVERAGE(D34:D35)</f>
        <v>6.6999999999999993</v>
      </c>
      <c r="E36" s="8">
        <f t="shared" ref="E36" si="7">AVERAGE(E34:E35)</f>
        <v>6.6999999999999993</v>
      </c>
      <c r="F36" s="8"/>
      <c r="G36" s="8"/>
      <c r="H36" s="8"/>
      <c r="J36" s="6"/>
    </row>
    <row r="37" spans="1:10" x14ac:dyDescent="0.25">
      <c r="A37" s="21" t="s">
        <v>126</v>
      </c>
      <c r="B37" s="14">
        <f>B36*947817</f>
        <v>6350373.8999999994</v>
      </c>
      <c r="C37" s="14">
        <f t="shared" ref="C37:E37" si="8">C36*947817</f>
        <v>6350373.8999999994</v>
      </c>
      <c r="D37" s="14">
        <f t="shared" si="8"/>
        <v>6350373.8999999994</v>
      </c>
      <c r="E37" s="14">
        <f t="shared" si="8"/>
        <v>6350373.8999999994</v>
      </c>
      <c r="F37" s="8"/>
      <c r="G37" s="8"/>
      <c r="H37" s="8"/>
      <c r="J37" s="6"/>
    </row>
    <row r="38" spans="1:10" x14ac:dyDescent="0.25">
      <c r="A38" s="21" t="s">
        <v>127</v>
      </c>
      <c r="B38" s="14">
        <f>SUM(B37,B33)</f>
        <v>7819490.25</v>
      </c>
      <c r="C38" s="14">
        <f t="shared" ref="C38:E38" si="9">SUM(C37,C33)</f>
        <v>7819490.25</v>
      </c>
      <c r="D38" s="14">
        <f t="shared" si="9"/>
        <v>7819490.25</v>
      </c>
      <c r="E38" s="14">
        <f t="shared" si="9"/>
        <v>7819490.25</v>
      </c>
      <c r="F38" s="8"/>
      <c r="G38" s="8"/>
      <c r="H38" s="8"/>
      <c r="J38" s="6"/>
    </row>
    <row r="39" spans="1:10" x14ac:dyDescent="0.25">
      <c r="A39" s="21" t="s">
        <v>128</v>
      </c>
      <c r="B39" s="14">
        <v>1535</v>
      </c>
      <c r="C39" s="14">
        <v>1458</v>
      </c>
      <c r="D39" s="14">
        <v>1385</v>
      </c>
      <c r="E39" s="14">
        <v>1316</v>
      </c>
      <c r="F39" s="8"/>
      <c r="G39" s="8"/>
      <c r="H39" s="8"/>
      <c r="J39" s="6"/>
    </row>
    <row r="40" spans="1:10" x14ac:dyDescent="0.25">
      <c r="A40" s="21" t="s">
        <v>129</v>
      </c>
      <c r="B40" s="14">
        <f>B39*3412</f>
        <v>5237420</v>
      </c>
      <c r="C40" s="14">
        <f t="shared" ref="C40:E40" si="10">C39*3412</f>
        <v>4974696</v>
      </c>
      <c r="D40" s="14">
        <f t="shared" si="10"/>
        <v>4725620</v>
      </c>
      <c r="E40" s="14">
        <f t="shared" si="10"/>
        <v>4490192</v>
      </c>
      <c r="F40" s="8"/>
      <c r="G40" s="8"/>
      <c r="H40" s="8"/>
      <c r="J40" s="6"/>
    </row>
    <row r="41" spans="1:10" x14ac:dyDescent="0.25">
      <c r="A41" s="28" t="s">
        <v>130</v>
      </c>
      <c r="B41" s="14">
        <f>AVERAGE(B40,B38)</f>
        <v>6528455.125</v>
      </c>
      <c r="C41" s="14">
        <f t="shared" ref="C41:E41" si="11">AVERAGE(C40,C38)</f>
        <v>6397093.125</v>
      </c>
      <c r="D41" s="14">
        <f t="shared" si="11"/>
        <v>6272555.125</v>
      </c>
      <c r="E41" s="14">
        <f t="shared" si="11"/>
        <v>6154841.125</v>
      </c>
      <c r="F41" s="8"/>
      <c r="G41" s="8"/>
      <c r="H41" s="8"/>
      <c r="J41" s="6"/>
    </row>
    <row r="42" spans="1:10" x14ac:dyDescent="0.25">
      <c r="A42" s="28"/>
      <c r="B42" s="14"/>
      <c r="C42" s="14"/>
      <c r="D42" s="14"/>
      <c r="E42" s="14"/>
      <c r="J42" s="6"/>
    </row>
    <row r="43" spans="1:10" x14ac:dyDescent="0.25">
      <c r="A43" s="21"/>
      <c r="B43" s="25" t="s">
        <v>109</v>
      </c>
      <c r="C43" s="14"/>
      <c r="D43" s="14"/>
      <c r="E43" s="14"/>
      <c r="J43" s="6"/>
    </row>
    <row r="44" spans="1:10" x14ac:dyDescent="0.25">
      <c r="A44" s="21" t="s">
        <v>96</v>
      </c>
      <c r="B44" s="14">
        <v>0</v>
      </c>
      <c r="C44" s="14">
        <v>0</v>
      </c>
      <c r="D44" s="14">
        <v>0</v>
      </c>
      <c r="E44" s="14">
        <v>400</v>
      </c>
      <c r="F44">
        <v>1500</v>
      </c>
      <c r="G44" s="14">
        <v>30000</v>
      </c>
      <c r="J44" s="6"/>
    </row>
    <row r="45" spans="1:10" x14ac:dyDescent="0.25">
      <c r="A45" s="23" t="s">
        <v>110</v>
      </c>
      <c r="B45" s="24">
        <v>3</v>
      </c>
      <c r="C45" s="24">
        <v>473</v>
      </c>
      <c r="D45" s="24">
        <v>4791</v>
      </c>
      <c r="E45" s="24">
        <v>15356</v>
      </c>
      <c r="F45" s="26"/>
      <c r="G45" s="26"/>
      <c r="J45" s="6"/>
    </row>
    <row r="46" spans="1:10" x14ac:dyDescent="0.25">
      <c r="A46" s="23" t="s">
        <v>111</v>
      </c>
      <c r="B46" s="27">
        <f>B45*0.5</f>
        <v>1.5</v>
      </c>
      <c r="C46" s="24">
        <f t="shared" ref="C46:E46" si="12">C45*0.5</f>
        <v>236.5</v>
      </c>
      <c r="D46" s="24">
        <f t="shared" si="12"/>
        <v>2395.5</v>
      </c>
      <c r="E46" s="24">
        <f t="shared" si="12"/>
        <v>7678</v>
      </c>
      <c r="F46" s="26"/>
      <c r="G46" s="26"/>
      <c r="J46" s="6"/>
    </row>
    <row r="47" spans="1:10" x14ac:dyDescent="0.25">
      <c r="A47" s="21" t="s">
        <v>112</v>
      </c>
      <c r="B47" s="19">
        <f>AVERAGE(B45:B46)</f>
        <v>2.25</v>
      </c>
      <c r="C47" s="14">
        <f t="shared" ref="C47:E47" si="13">AVERAGE(C45:C46)</f>
        <v>354.75</v>
      </c>
      <c r="D47" s="14">
        <f t="shared" si="13"/>
        <v>3593.25</v>
      </c>
      <c r="E47" s="14">
        <f t="shared" si="13"/>
        <v>11517</v>
      </c>
      <c r="J47" s="6"/>
    </row>
    <row r="48" spans="1:10" x14ac:dyDescent="0.25">
      <c r="A48" s="30" t="s">
        <v>132</v>
      </c>
      <c r="B48" s="14">
        <f>AVERAGE(B47,B44)</f>
        <v>1.125</v>
      </c>
      <c r="C48" s="14">
        <f t="shared" ref="C48:E48" si="14">AVERAGE(C47,C44)</f>
        <v>177.375</v>
      </c>
      <c r="D48" s="14">
        <f t="shared" si="14"/>
        <v>1796.625</v>
      </c>
      <c r="E48" s="14">
        <f t="shared" si="14"/>
        <v>5958.5</v>
      </c>
      <c r="J48" s="6"/>
    </row>
    <row r="49" spans="1:10" x14ac:dyDescent="0.25">
      <c r="A49" s="21"/>
      <c r="B49" s="14"/>
      <c r="C49" s="14"/>
      <c r="D49" s="14"/>
      <c r="E49" s="14"/>
      <c r="J49" s="6"/>
    </row>
    <row r="50" spans="1:10" x14ac:dyDescent="0.25">
      <c r="B50" s="1" t="s">
        <v>35</v>
      </c>
    </row>
    <row r="51" spans="1:10" x14ac:dyDescent="0.25">
      <c r="B51" t="s">
        <v>36</v>
      </c>
    </row>
    <row r="52" spans="1:10" x14ac:dyDescent="0.25">
      <c r="B52" t="s">
        <v>37</v>
      </c>
    </row>
    <row r="53" spans="1:10" x14ac:dyDescent="0.25">
      <c r="B53" t="s">
        <v>38</v>
      </c>
    </row>
    <row r="55" spans="1:10" x14ac:dyDescent="0.25">
      <c r="B55" t="s">
        <v>88</v>
      </c>
      <c r="C55" s="20">
        <v>1.6688000000000001</v>
      </c>
      <c r="D55" t="s">
        <v>41</v>
      </c>
      <c r="E55">
        <v>2017</v>
      </c>
      <c r="G55" s="18" t="s">
        <v>87</v>
      </c>
    </row>
    <row r="56" spans="1:10" x14ac:dyDescent="0.25">
      <c r="B56" t="s">
        <v>40</v>
      </c>
      <c r="C56">
        <v>80</v>
      </c>
      <c r="D56" t="s">
        <v>42</v>
      </c>
      <c r="E56">
        <v>2017</v>
      </c>
      <c r="G56" s="6" t="s">
        <v>90</v>
      </c>
    </row>
    <row r="57" spans="1:10" x14ac:dyDescent="0.25">
      <c r="B57" t="s">
        <v>89</v>
      </c>
      <c r="C57" s="10">
        <f>C55/C56</f>
        <v>2.086E-2</v>
      </c>
    </row>
    <row r="59" spans="1:10" x14ac:dyDescent="0.25">
      <c r="A59" s="28" t="s">
        <v>134</v>
      </c>
      <c r="B59" s="32">
        <f>B48*$C$57</f>
        <v>2.3467499999999999E-2</v>
      </c>
      <c r="C59" s="32">
        <f t="shared" ref="C59:E59" si="15">C48*$C$57</f>
        <v>3.7000424999999999</v>
      </c>
      <c r="D59" s="32">
        <f t="shared" si="15"/>
        <v>37.477597500000002</v>
      </c>
      <c r="E59" s="32">
        <f t="shared" si="15"/>
        <v>124.29431</v>
      </c>
      <c r="F59" s="31"/>
      <c r="G59" s="31"/>
    </row>
  </sheetData>
  <hyperlinks>
    <hyperlink ref="A2" r:id="rId1" xr:uid="{45DD5CF1-C46A-42D6-A7D7-A22A80577B18}"/>
    <hyperlink ref="G56" r:id="rId2" xr:uid="{89957D1A-BCF1-498F-B397-AE2ACF2DE8B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F2" sqref="F2:N2"/>
    </sheetView>
  </sheetViews>
  <sheetFormatPr defaultRowHeight="15" x14ac:dyDescent="0.25"/>
  <cols>
    <col min="1" max="1" width="19.85546875" customWidth="1"/>
    <col min="2" max="2" width="9.140625" customWidth="1"/>
    <col min="15" max="15" width="10.5703125" bestFit="1" customWidth="1"/>
    <col min="25" max="25" width="11.5703125" bestFit="1" customWidth="1"/>
    <col min="33" max="34" width="12" bestFit="1" customWidth="1"/>
    <col min="35" max="35" width="10" bestFit="1" customWidth="1"/>
  </cols>
  <sheetData>
    <row r="1" spans="1:35" x14ac:dyDescent="0.25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 s="14">
        <v>0</v>
      </c>
      <c r="E2" s="14">
        <f>'Texas Data'!B59*1000000</f>
        <v>23467.5</v>
      </c>
      <c r="F2" s="14">
        <f>0.9*E2+0.1*O2</f>
        <v>391125</v>
      </c>
      <c r="G2" s="14">
        <f>0.8*E2+0.2*O2</f>
        <v>758782.5</v>
      </c>
      <c r="H2" s="14">
        <f>0.7*E2+0.3*O2</f>
        <v>1126440</v>
      </c>
      <c r="I2" s="14">
        <f>0.6*E2+0.4*O2</f>
        <v>1494097.5</v>
      </c>
      <c r="J2" s="14">
        <f>0.5*E2+0.5*O2</f>
        <v>1861755</v>
      </c>
      <c r="K2" s="14">
        <f>0.4*E2+0.6*O2</f>
        <v>2229412.5</v>
      </c>
      <c r="L2" s="14">
        <f>0.3*E2+0.7*O2</f>
        <v>2597070</v>
      </c>
      <c r="M2" s="14">
        <f>0.2*E2+0.8*O2</f>
        <v>2964727.5</v>
      </c>
      <c r="N2" s="14">
        <f>0.1*E2+0.9*O2</f>
        <v>3332385</v>
      </c>
      <c r="O2" s="14">
        <f>'Texas Data'!C59*1000000</f>
        <v>3700042.5</v>
      </c>
      <c r="P2" s="14">
        <f>0.9*O2+0.1*Y2</f>
        <v>7077798</v>
      </c>
      <c r="Q2" s="14">
        <f>0.8*O2+0.2*Y2</f>
        <v>10455553.5</v>
      </c>
      <c r="R2" s="14">
        <f>0.7*O2+0.3*Y2</f>
        <v>13833309</v>
      </c>
      <c r="S2" s="14">
        <f>0.6*O2+0.4*Y2</f>
        <v>17211064.5</v>
      </c>
      <c r="T2" s="14">
        <f>0.5*O2+0.5*Y2</f>
        <v>20588820</v>
      </c>
      <c r="U2" s="14">
        <f>0.4*O2+0.6*Y2</f>
        <v>23966575.5</v>
      </c>
      <c r="V2" s="14">
        <f>0.3*O2+0.7*Y2</f>
        <v>27344331</v>
      </c>
      <c r="W2" s="14">
        <f>0.2*O2+0.8*Y2</f>
        <v>30722086.5</v>
      </c>
      <c r="X2" s="14">
        <f>0.1*O2+0.9*Y2</f>
        <v>34099842</v>
      </c>
      <c r="Y2" s="14">
        <f>'Texas Data'!D59*1000000</f>
        <v>37477597.5</v>
      </c>
      <c r="Z2" s="14">
        <f>0.9*Y2+0.1*AI2</f>
        <v>46159268.75</v>
      </c>
      <c r="AA2" s="14">
        <f>0.8*Y2+0.2*AI2</f>
        <v>54840940</v>
      </c>
      <c r="AB2" s="14">
        <f>0.7*Y2+0.3*AI2</f>
        <v>63522611.25</v>
      </c>
      <c r="AC2" s="14">
        <f>0.6*Y2+0.4*AI2</f>
        <v>72204282.5</v>
      </c>
      <c r="AD2" s="14">
        <f>0.5*Y2+0.5*AI2</f>
        <v>80885953.75</v>
      </c>
      <c r="AE2" s="14">
        <f>0.4*Y2+0.6*AI2</f>
        <v>89567625</v>
      </c>
      <c r="AF2" s="14">
        <f>0.3*Y2+0.7*AI2</f>
        <v>98249296.25</v>
      </c>
      <c r="AG2" s="14">
        <f>0.2*Y2+0.8*AI2</f>
        <v>106930967.5</v>
      </c>
      <c r="AH2" s="14">
        <f>0.1*Y2+0.9*AI2</f>
        <v>115612638.75</v>
      </c>
      <c r="AI2">
        <f>'Texas Data'!E59*1000000</f>
        <v>124294310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>
      <selection activeCell="F2" sqref="F2:N2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68</v>
      </c>
      <c r="B2" s="14">
        <f t="shared" ref="B2:C2" si="0">C2</f>
        <v>6528455.125</v>
      </c>
      <c r="C2" s="14">
        <f t="shared" si="0"/>
        <v>6528455.125</v>
      </c>
      <c r="D2" s="14">
        <f>E2</f>
        <v>6528455.125</v>
      </c>
      <c r="E2" s="14">
        <f>'Texas Data'!B41</f>
        <v>6528455.125</v>
      </c>
      <c r="F2" s="14">
        <f>0.9*E2+0.1*O2</f>
        <v>6515318.9249999998</v>
      </c>
      <c r="G2" s="14">
        <f>0.8*E2+0.2*O2</f>
        <v>6502182.7250000006</v>
      </c>
      <c r="H2" s="14">
        <f>0.7*E2+0.3*O2</f>
        <v>6489046.5249999994</v>
      </c>
      <c r="I2" s="14">
        <f>0.6*E2+0.4*O2</f>
        <v>6475910.3249999993</v>
      </c>
      <c r="J2" s="14">
        <f>0.5*E2+0.5*O2</f>
        <v>6462774.125</v>
      </c>
      <c r="K2" s="14">
        <f>0.4*E2+0.6*O2</f>
        <v>6449637.9250000007</v>
      </c>
      <c r="L2" s="14">
        <f>0.3*E2+0.7*O2</f>
        <v>6436501.7249999996</v>
      </c>
      <c r="M2" s="14">
        <f>0.2*E2+0.8*O2</f>
        <v>6423365.5250000004</v>
      </c>
      <c r="N2" s="14">
        <f>0.1*E2+0.9*O2</f>
        <v>6410229.3250000002</v>
      </c>
      <c r="O2" s="14">
        <f>'Texas Data'!C41</f>
        <v>6397093.125</v>
      </c>
      <c r="P2" s="14">
        <f>0.9*O2+0.1*Y2</f>
        <v>6384639.3250000002</v>
      </c>
      <c r="Q2" s="14">
        <f>0.8*O2+0.2*Y2</f>
        <v>6372185.5250000004</v>
      </c>
      <c r="R2" s="14">
        <f>0.7*O2+0.3*Y2</f>
        <v>6359731.7249999996</v>
      </c>
      <c r="S2" s="14">
        <f>0.6*O2+0.4*Y2</f>
        <v>6347277.9250000007</v>
      </c>
      <c r="T2" s="14">
        <f>0.5*O2+0.5*Y2</f>
        <v>6334824.125</v>
      </c>
      <c r="U2" s="14">
        <f>0.4*O2+0.6*Y2</f>
        <v>6322370.3249999993</v>
      </c>
      <c r="V2" s="14">
        <f>0.3*O2+0.7*Y2</f>
        <v>6309916.5249999994</v>
      </c>
      <c r="W2" s="14">
        <f>0.2*O2+0.8*Y2</f>
        <v>6297462.7250000006</v>
      </c>
      <c r="X2" s="14">
        <f>0.1*O2+0.9*Y2</f>
        <v>6285008.9249999998</v>
      </c>
      <c r="Y2" s="14">
        <f>'Texas Data'!D41</f>
        <v>6272555.125</v>
      </c>
      <c r="Z2" s="14">
        <f>0.9*Y2+0.1*AI2</f>
        <v>6260783.7249999996</v>
      </c>
      <c r="AA2" s="14">
        <f>0.8*Y2+0.2*AI2</f>
        <v>6249012.3250000011</v>
      </c>
      <c r="AB2" s="14">
        <f>0.7*Y2+0.3*AI2</f>
        <v>6237240.9249999989</v>
      </c>
      <c r="AC2" s="14">
        <f>0.6*Y2+0.4*AI2</f>
        <v>6225469.5250000004</v>
      </c>
      <c r="AD2" s="14">
        <f>0.5*Y2+0.5*AI2</f>
        <v>6213698.125</v>
      </c>
      <c r="AE2" s="14">
        <f>0.4*Y2+0.6*AI2</f>
        <v>6201926.7249999996</v>
      </c>
      <c r="AF2" s="14">
        <f>0.3*Y2+0.7*AI2</f>
        <v>6190155.3249999993</v>
      </c>
      <c r="AG2" s="14">
        <f>0.2*Y2+0.8*AI2</f>
        <v>6178383.9250000007</v>
      </c>
      <c r="AH2" s="14">
        <f>0.1*Y2+0.9*AI2</f>
        <v>6166612.5250000004</v>
      </c>
      <c r="AI2" s="14">
        <f>'Texas Data'!E41</f>
        <v>6154841.125</v>
      </c>
    </row>
    <row r="3" spans="1:35" x14ac:dyDescent="0.25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ref="D2:AI10" si="2">$B3</f>
        <v>0</v>
      </c>
      <c r="T3" s="14">
        <f t="shared" si="2"/>
        <v>0</v>
      </c>
      <c r="U3" s="14">
        <f t="shared" si="2"/>
        <v>0</v>
      </c>
      <c r="V3" s="14">
        <f t="shared" si="2"/>
        <v>0</v>
      </c>
      <c r="W3" s="14">
        <f t="shared" si="2"/>
        <v>0</v>
      </c>
      <c r="X3" s="14">
        <f t="shared" si="2"/>
        <v>0</v>
      </c>
      <c r="Y3" s="14">
        <f t="shared" si="2"/>
        <v>0</v>
      </c>
      <c r="Z3" s="14">
        <f t="shared" si="2"/>
        <v>0</v>
      </c>
      <c r="AA3" s="14">
        <f t="shared" si="2"/>
        <v>0</v>
      </c>
      <c r="AB3" s="14">
        <f t="shared" si="2"/>
        <v>0</v>
      </c>
      <c r="AC3" s="14">
        <f t="shared" si="2"/>
        <v>0</v>
      </c>
      <c r="AD3" s="14">
        <f t="shared" si="2"/>
        <v>0</v>
      </c>
      <c r="AE3" s="14">
        <f t="shared" si="2"/>
        <v>0</v>
      </c>
      <c r="AF3" s="14">
        <f t="shared" si="2"/>
        <v>0</v>
      </c>
      <c r="AG3" s="14">
        <f t="shared" si="2"/>
        <v>0</v>
      </c>
      <c r="AH3" s="14">
        <f t="shared" si="2"/>
        <v>0</v>
      </c>
      <c r="AI3" s="14">
        <f t="shared" si="2"/>
        <v>0</v>
      </c>
    </row>
    <row r="4" spans="1:35" x14ac:dyDescent="0.25">
      <c r="A4" s="15" t="s">
        <v>70</v>
      </c>
      <c r="B4" s="14">
        <v>0</v>
      </c>
      <c r="C4" s="14">
        <f t="shared" si="1"/>
        <v>0</v>
      </c>
      <c r="D4" s="14">
        <f t="shared" si="2"/>
        <v>0</v>
      </c>
      <c r="E4" s="14">
        <f t="shared" si="2"/>
        <v>0</v>
      </c>
      <c r="F4" s="14">
        <f t="shared" si="2"/>
        <v>0</v>
      </c>
      <c r="G4" s="14">
        <f t="shared" si="2"/>
        <v>0</v>
      </c>
      <c r="H4" s="14">
        <f t="shared" si="2"/>
        <v>0</v>
      </c>
      <c r="I4" s="14">
        <f t="shared" si="2"/>
        <v>0</v>
      </c>
      <c r="J4" s="14">
        <f t="shared" si="2"/>
        <v>0</v>
      </c>
      <c r="K4" s="14">
        <f t="shared" si="2"/>
        <v>0</v>
      </c>
      <c r="L4" s="14">
        <f t="shared" si="2"/>
        <v>0</v>
      </c>
      <c r="M4" s="14">
        <f t="shared" si="2"/>
        <v>0</v>
      </c>
      <c r="N4" s="14">
        <f t="shared" si="2"/>
        <v>0</v>
      </c>
      <c r="O4" s="14">
        <f t="shared" si="2"/>
        <v>0</v>
      </c>
      <c r="P4" s="14">
        <f t="shared" si="2"/>
        <v>0</v>
      </c>
      <c r="Q4" s="14">
        <f t="shared" si="2"/>
        <v>0</v>
      </c>
      <c r="R4" s="14">
        <f t="shared" si="2"/>
        <v>0</v>
      </c>
      <c r="S4" s="14">
        <f t="shared" si="2"/>
        <v>0</v>
      </c>
      <c r="T4" s="14">
        <f t="shared" si="2"/>
        <v>0</v>
      </c>
      <c r="U4" s="14">
        <f t="shared" si="2"/>
        <v>0</v>
      </c>
      <c r="V4" s="14">
        <f t="shared" si="2"/>
        <v>0</v>
      </c>
      <c r="W4" s="14">
        <f t="shared" si="2"/>
        <v>0</v>
      </c>
      <c r="X4" s="14">
        <f t="shared" si="2"/>
        <v>0</v>
      </c>
      <c r="Y4" s="14">
        <f t="shared" si="2"/>
        <v>0</v>
      </c>
      <c r="Z4" s="14">
        <f t="shared" si="2"/>
        <v>0</v>
      </c>
      <c r="AA4" s="14">
        <f t="shared" si="2"/>
        <v>0</v>
      </c>
      <c r="AB4" s="14">
        <f t="shared" si="2"/>
        <v>0</v>
      </c>
      <c r="AC4" s="14">
        <f t="shared" si="2"/>
        <v>0</v>
      </c>
      <c r="AD4" s="14">
        <f t="shared" si="2"/>
        <v>0</v>
      </c>
      <c r="AE4" s="14">
        <f t="shared" si="2"/>
        <v>0</v>
      </c>
      <c r="AF4" s="14">
        <f t="shared" si="2"/>
        <v>0</v>
      </c>
      <c r="AG4" s="14">
        <f t="shared" si="2"/>
        <v>0</v>
      </c>
      <c r="AH4" s="14">
        <f t="shared" si="2"/>
        <v>0</v>
      </c>
      <c r="AI4" s="14">
        <f t="shared" si="2"/>
        <v>0</v>
      </c>
    </row>
    <row r="5" spans="1:35" x14ac:dyDescent="0.25">
      <c r="A5" s="15" t="s">
        <v>71</v>
      </c>
      <c r="B5">
        <v>0</v>
      </c>
      <c r="C5" s="14">
        <f t="shared" si="1"/>
        <v>0</v>
      </c>
      <c r="D5" s="14">
        <f t="shared" si="2"/>
        <v>0</v>
      </c>
      <c r="E5" s="14">
        <f t="shared" si="2"/>
        <v>0</v>
      </c>
      <c r="F5" s="14">
        <f t="shared" si="2"/>
        <v>0</v>
      </c>
      <c r="G5" s="14">
        <f t="shared" si="2"/>
        <v>0</v>
      </c>
      <c r="H5" s="14">
        <f t="shared" si="2"/>
        <v>0</v>
      </c>
      <c r="I5" s="14">
        <f t="shared" si="2"/>
        <v>0</v>
      </c>
      <c r="J5" s="14">
        <f t="shared" si="2"/>
        <v>0</v>
      </c>
      <c r="K5" s="14">
        <f t="shared" si="2"/>
        <v>0</v>
      </c>
      <c r="L5" s="14">
        <f t="shared" si="2"/>
        <v>0</v>
      </c>
      <c r="M5" s="14">
        <f t="shared" si="2"/>
        <v>0</v>
      </c>
      <c r="N5" s="14">
        <f t="shared" si="2"/>
        <v>0</v>
      </c>
      <c r="O5" s="14">
        <f t="shared" si="2"/>
        <v>0</v>
      </c>
      <c r="P5" s="14">
        <f t="shared" si="2"/>
        <v>0</v>
      </c>
      <c r="Q5" s="14">
        <f t="shared" si="2"/>
        <v>0</v>
      </c>
      <c r="R5" s="14">
        <f t="shared" si="2"/>
        <v>0</v>
      </c>
      <c r="S5" s="14">
        <f t="shared" si="2"/>
        <v>0</v>
      </c>
      <c r="T5" s="14">
        <f t="shared" si="2"/>
        <v>0</v>
      </c>
      <c r="U5" s="14">
        <f t="shared" si="2"/>
        <v>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  <c r="Z5" s="14">
        <f t="shared" si="2"/>
        <v>0</v>
      </c>
      <c r="AA5" s="14">
        <f t="shared" si="2"/>
        <v>0</v>
      </c>
      <c r="AB5" s="14">
        <f t="shared" si="2"/>
        <v>0</v>
      </c>
      <c r="AC5" s="14">
        <f t="shared" si="2"/>
        <v>0</v>
      </c>
      <c r="AD5" s="14">
        <f t="shared" si="2"/>
        <v>0</v>
      </c>
      <c r="AE5" s="14">
        <f t="shared" si="2"/>
        <v>0</v>
      </c>
      <c r="AF5" s="14">
        <f t="shared" si="2"/>
        <v>0</v>
      </c>
      <c r="AG5" s="14">
        <f t="shared" si="2"/>
        <v>0</v>
      </c>
      <c r="AH5" s="14">
        <f t="shared" si="2"/>
        <v>0</v>
      </c>
      <c r="AI5" s="14">
        <f t="shared" si="2"/>
        <v>0</v>
      </c>
    </row>
    <row r="6" spans="1:35" x14ac:dyDescent="0.25">
      <c r="A6" s="15" t="s">
        <v>72</v>
      </c>
      <c r="B6">
        <v>0</v>
      </c>
      <c r="C6" s="14">
        <f t="shared" si="1"/>
        <v>0</v>
      </c>
      <c r="D6" s="14">
        <f t="shared" si="2"/>
        <v>0</v>
      </c>
      <c r="E6" s="14">
        <f t="shared" si="2"/>
        <v>0</v>
      </c>
      <c r="F6" s="14">
        <f t="shared" si="2"/>
        <v>0</v>
      </c>
      <c r="G6" s="14">
        <f t="shared" si="2"/>
        <v>0</v>
      </c>
      <c r="H6" s="14">
        <f t="shared" si="2"/>
        <v>0</v>
      </c>
      <c r="I6" s="14">
        <f t="shared" si="2"/>
        <v>0</v>
      </c>
      <c r="J6" s="14">
        <f t="shared" si="2"/>
        <v>0</v>
      </c>
      <c r="K6" s="14">
        <f t="shared" si="2"/>
        <v>0</v>
      </c>
      <c r="L6" s="14">
        <f t="shared" si="2"/>
        <v>0</v>
      </c>
      <c r="M6" s="14">
        <f t="shared" si="2"/>
        <v>0</v>
      </c>
      <c r="N6" s="14">
        <f t="shared" si="2"/>
        <v>0</v>
      </c>
      <c r="O6" s="14">
        <f t="shared" si="2"/>
        <v>0</v>
      </c>
      <c r="P6" s="14">
        <f t="shared" si="2"/>
        <v>0</v>
      </c>
      <c r="Q6" s="14">
        <f t="shared" si="2"/>
        <v>0</v>
      </c>
      <c r="R6" s="14">
        <f t="shared" si="2"/>
        <v>0</v>
      </c>
      <c r="S6" s="14">
        <f t="shared" si="2"/>
        <v>0</v>
      </c>
      <c r="T6" s="14">
        <f t="shared" si="2"/>
        <v>0</v>
      </c>
      <c r="U6" s="14">
        <f t="shared" si="2"/>
        <v>0</v>
      </c>
      <c r="V6" s="14">
        <f t="shared" si="2"/>
        <v>0</v>
      </c>
      <c r="W6" s="14">
        <f t="shared" si="2"/>
        <v>0</v>
      </c>
      <c r="X6" s="14">
        <f t="shared" si="2"/>
        <v>0</v>
      </c>
      <c r="Y6" s="14">
        <f t="shared" si="2"/>
        <v>0</v>
      </c>
      <c r="Z6" s="14">
        <f t="shared" si="2"/>
        <v>0</v>
      </c>
      <c r="AA6" s="14">
        <f t="shared" si="2"/>
        <v>0</v>
      </c>
      <c r="AB6" s="14">
        <f t="shared" si="2"/>
        <v>0</v>
      </c>
      <c r="AC6" s="14">
        <f t="shared" si="2"/>
        <v>0</v>
      </c>
      <c r="AD6" s="14">
        <f t="shared" si="2"/>
        <v>0</v>
      </c>
      <c r="AE6" s="14">
        <f t="shared" si="2"/>
        <v>0</v>
      </c>
      <c r="AF6" s="14">
        <f t="shared" si="2"/>
        <v>0</v>
      </c>
      <c r="AG6" s="14">
        <f t="shared" si="2"/>
        <v>0</v>
      </c>
      <c r="AH6" s="14">
        <f t="shared" si="2"/>
        <v>0</v>
      </c>
      <c r="AI6" s="14">
        <f t="shared" si="2"/>
        <v>0</v>
      </c>
    </row>
    <row r="7" spans="1:35" x14ac:dyDescent="0.25">
      <c r="A7" s="15" t="s">
        <v>73</v>
      </c>
      <c r="B7">
        <v>0</v>
      </c>
      <c r="C7" s="14">
        <f t="shared" si="1"/>
        <v>0</v>
      </c>
      <c r="D7" s="14">
        <f t="shared" si="2"/>
        <v>0</v>
      </c>
      <c r="E7" s="14">
        <f t="shared" si="2"/>
        <v>0</v>
      </c>
      <c r="F7" s="14">
        <f t="shared" si="2"/>
        <v>0</v>
      </c>
      <c r="G7" s="14">
        <f t="shared" si="2"/>
        <v>0</v>
      </c>
      <c r="H7" s="14">
        <f t="shared" si="2"/>
        <v>0</v>
      </c>
      <c r="I7" s="14">
        <f t="shared" si="2"/>
        <v>0</v>
      </c>
      <c r="J7" s="14">
        <f t="shared" si="2"/>
        <v>0</v>
      </c>
      <c r="K7" s="14">
        <f t="shared" si="2"/>
        <v>0</v>
      </c>
      <c r="L7" s="14">
        <f t="shared" si="2"/>
        <v>0</v>
      </c>
      <c r="M7" s="14">
        <f t="shared" si="2"/>
        <v>0</v>
      </c>
      <c r="N7" s="14">
        <f t="shared" si="2"/>
        <v>0</v>
      </c>
      <c r="O7" s="14">
        <f t="shared" si="2"/>
        <v>0</v>
      </c>
      <c r="P7" s="14">
        <f t="shared" si="2"/>
        <v>0</v>
      </c>
      <c r="Q7" s="14">
        <f t="shared" si="2"/>
        <v>0</v>
      </c>
      <c r="R7" s="14">
        <f t="shared" si="2"/>
        <v>0</v>
      </c>
      <c r="S7" s="14">
        <f t="shared" si="2"/>
        <v>0</v>
      </c>
      <c r="T7" s="14">
        <f t="shared" si="2"/>
        <v>0</v>
      </c>
      <c r="U7" s="14">
        <f t="shared" si="2"/>
        <v>0</v>
      </c>
      <c r="V7" s="14">
        <f t="shared" si="2"/>
        <v>0</v>
      </c>
      <c r="W7" s="14">
        <f t="shared" si="2"/>
        <v>0</v>
      </c>
      <c r="X7" s="14">
        <f t="shared" si="2"/>
        <v>0</v>
      </c>
      <c r="Y7" s="14">
        <f t="shared" si="2"/>
        <v>0</v>
      </c>
      <c r="Z7" s="14">
        <f t="shared" si="2"/>
        <v>0</v>
      </c>
      <c r="AA7" s="14">
        <f t="shared" si="2"/>
        <v>0</v>
      </c>
      <c r="AB7" s="14">
        <f t="shared" si="2"/>
        <v>0</v>
      </c>
      <c r="AC7" s="14">
        <f t="shared" si="2"/>
        <v>0</v>
      </c>
      <c r="AD7" s="14">
        <f t="shared" si="2"/>
        <v>0</v>
      </c>
      <c r="AE7" s="14">
        <f t="shared" si="2"/>
        <v>0</v>
      </c>
      <c r="AF7" s="14">
        <f t="shared" si="2"/>
        <v>0</v>
      </c>
      <c r="AG7" s="14">
        <f t="shared" si="2"/>
        <v>0</v>
      </c>
      <c r="AH7" s="14">
        <f t="shared" si="2"/>
        <v>0</v>
      </c>
      <c r="AI7" s="14">
        <f t="shared" si="2"/>
        <v>0</v>
      </c>
    </row>
    <row r="8" spans="1:35" x14ac:dyDescent="0.25">
      <c r="A8" s="15" t="s">
        <v>74</v>
      </c>
      <c r="B8">
        <v>0</v>
      </c>
      <c r="C8" s="14">
        <f t="shared" si="1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  <c r="Z8" s="14">
        <f t="shared" si="2"/>
        <v>0</v>
      </c>
      <c r="AA8" s="14">
        <f t="shared" si="2"/>
        <v>0</v>
      </c>
      <c r="AB8" s="14">
        <f t="shared" si="2"/>
        <v>0</v>
      </c>
      <c r="AC8" s="14">
        <f t="shared" si="2"/>
        <v>0</v>
      </c>
      <c r="AD8" s="14">
        <f t="shared" si="2"/>
        <v>0</v>
      </c>
      <c r="AE8" s="14">
        <f t="shared" si="2"/>
        <v>0</v>
      </c>
      <c r="AF8" s="14">
        <f t="shared" si="2"/>
        <v>0</v>
      </c>
      <c r="AG8" s="14">
        <f t="shared" si="2"/>
        <v>0</v>
      </c>
      <c r="AH8" s="14">
        <f t="shared" si="2"/>
        <v>0</v>
      </c>
      <c r="AI8" s="14">
        <f t="shared" si="2"/>
        <v>0</v>
      </c>
    </row>
    <row r="9" spans="1:35" x14ac:dyDescent="0.25">
      <c r="A9" s="15" t="s">
        <v>75</v>
      </c>
      <c r="B9">
        <v>0</v>
      </c>
      <c r="C9" s="14">
        <f t="shared" si="1"/>
        <v>0</v>
      </c>
      <c r="D9" s="14">
        <f t="shared" si="2"/>
        <v>0</v>
      </c>
      <c r="E9" s="14">
        <f t="shared" si="2"/>
        <v>0</v>
      </c>
      <c r="F9" s="14">
        <f t="shared" si="2"/>
        <v>0</v>
      </c>
      <c r="G9" s="14">
        <f t="shared" si="2"/>
        <v>0</v>
      </c>
      <c r="H9" s="14">
        <f t="shared" si="2"/>
        <v>0</v>
      </c>
      <c r="I9" s="14">
        <f t="shared" si="2"/>
        <v>0</v>
      </c>
      <c r="J9" s="14">
        <f t="shared" si="2"/>
        <v>0</v>
      </c>
      <c r="K9" s="14">
        <f t="shared" si="2"/>
        <v>0</v>
      </c>
      <c r="L9" s="14">
        <f t="shared" si="2"/>
        <v>0</v>
      </c>
      <c r="M9" s="14">
        <f t="shared" si="2"/>
        <v>0</v>
      </c>
      <c r="N9" s="14">
        <f t="shared" si="2"/>
        <v>0</v>
      </c>
      <c r="O9" s="14">
        <f t="shared" si="2"/>
        <v>0</v>
      </c>
      <c r="P9" s="14">
        <f t="shared" si="2"/>
        <v>0</v>
      </c>
      <c r="Q9" s="14">
        <f t="shared" si="2"/>
        <v>0</v>
      </c>
      <c r="R9" s="14">
        <f t="shared" si="2"/>
        <v>0</v>
      </c>
      <c r="S9" s="14">
        <f t="shared" si="2"/>
        <v>0</v>
      </c>
      <c r="T9" s="14">
        <f t="shared" si="2"/>
        <v>0</v>
      </c>
      <c r="U9" s="14">
        <f t="shared" si="2"/>
        <v>0</v>
      </c>
      <c r="V9" s="14">
        <f t="shared" si="2"/>
        <v>0</v>
      </c>
      <c r="W9" s="14">
        <f t="shared" si="2"/>
        <v>0</v>
      </c>
      <c r="X9" s="14">
        <f t="shared" si="2"/>
        <v>0</v>
      </c>
      <c r="Y9" s="14">
        <f t="shared" si="2"/>
        <v>0</v>
      </c>
      <c r="Z9" s="14">
        <f t="shared" si="2"/>
        <v>0</v>
      </c>
      <c r="AA9" s="14">
        <f t="shared" si="2"/>
        <v>0</v>
      </c>
      <c r="AB9" s="14">
        <f t="shared" si="2"/>
        <v>0</v>
      </c>
      <c r="AC9" s="14">
        <f t="shared" si="2"/>
        <v>0</v>
      </c>
      <c r="AD9" s="14">
        <f t="shared" si="2"/>
        <v>0</v>
      </c>
      <c r="AE9" s="14">
        <f t="shared" si="2"/>
        <v>0</v>
      </c>
      <c r="AF9" s="14">
        <f t="shared" si="2"/>
        <v>0</v>
      </c>
      <c r="AG9" s="14">
        <f t="shared" si="2"/>
        <v>0</v>
      </c>
      <c r="AH9" s="14">
        <f t="shared" si="2"/>
        <v>0</v>
      </c>
      <c r="AI9" s="14">
        <f t="shared" si="2"/>
        <v>0</v>
      </c>
    </row>
    <row r="10" spans="1:35" x14ac:dyDescent="0.25">
      <c r="A10" s="15" t="s">
        <v>76</v>
      </c>
      <c r="B10">
        <v>0</v>
      </c>
      <c r="C10" s="14">
        <f t="shared" si="1"/>
        <v>0</v>
      </c>
      <c r="D10" s="14">
        <f t="shared" si="2"/>
        <v>0</v>
      </c>
      <c r="E10" s="14">
        <f t="shared" si="2"/>
        <v>0</v>
      </c>
      <c r="F10" s="14">
        <f t="shared" si="2"/>
        <v>0</v>
      </c>
      <c r="G10" s="14">
        <f t="shared" si="2"/>
        <v>0</v>
      </c>
      <c r="H10" s="14">
        <f t="shared" si="2"/>
        <v>0</v>
      </c>
      <c r="I10" s="14">
        <f t="shared" si="2"/>
        <v>0</v>
      </c>
      <c r="J10" s="14">
        <f t="shared" si="2"/>
        <v>0</v>
      </c>
      <c r="K10" s="14">
        <f t="shared" si="2"/>
        <v>0</v>
      </c>
      <c r="L10" s="14">
        <f t="shared" si="2"/>
        <v>0</v>
      </c>
      <c r="M10" s="14">
        <f t="shared" si="2"/>
        <v>0</v>
      </c>
      <c r="N10" s="14">
        <f t="shared" si="2"/>
        <v>0</v>
      </c>
      <c r="O10" s="14">
        <f t="shared" si="2"/>
        <v>0</v>
      </c>
      <c r="P10" s="14">
        <f t="shared" si="2"/>
        <v>0</v>
      </c>
      <c r="Q10" s="14">
        <f t="shared" si="2"/>
        <v>0</v>
      </c>
      <c r="R10" s="14">
        <f t="shared" ref="D10:AI11" si="3">$B10</f>
        <v>0</v>
      </c>
      <c r="S10" s="14">
        <f t="shared" si="3"/>
        <v>0</v>
      </c>
      <c r="T10" s="14">
        <f t="shared" si="3"/>
        <v>0</v>
      </c>
      <c r="U10" s="14">
        <f t="shared" si="3"/>
        <v>0</v>
      </c>
      <c r="V10" s="14">
        <f t="shared" si="3"/>
        <v>0</v>
      </c>
      <c r="W10" s="14">
        <f t="shared" si="3"/>
        <v>0</v>
      </c>
      <c r="X10" s="14">
        <f t="shared" si="3"/>
        <v>0</v>
      </c>
      <c r="Y10" s="14">
        <f t="shared" si="3"/>
        <v>0</v>
      </c>
      <c r="Z10" s="14">
        <f t="shared" si="3"/>
        <v>0</v>
      </c>
      <c r="AA10" s="14">
        <f t="shared" si="3"/>
        <v>0</v>
      </c>
      <c r="AB10" s="14">
        <f t="shared" si="3"/>
        <v>0</v>
      </c>
      <c r="AC10" s="14">
        <f t="shared" si="3"/>
        <v>0</v>
      </c>
      <c r="AD10" s="14">
        <f t="shared" si="3"/>
        <v>0</v>
      </c>
      <c r="AE10" s="14">
        <f t="shared" si="3"/>
        <v>0</v>
      </c>
      <c r="AF10" s="14">
        <f t="shared" si="3"/>
        <v>0</v>
      </c>
      <c r="AG10" s="14">
        <f t="shared" si="3"/>
        <v>0</v>
      </c>
      <c r="AH10" s="14">
        <f t="shared" si="3"/>
        <v>0</v>
      </c>
      <c r="AI10" s="14">
        <f t="shared" si="3"/>
        <v>0</v>
      </c>
    </row>
    <row r="11" spans="1:35" x14ac:dyDescent="0.25">
      <c r="A11" s="15" t="s">
        <v>77</v>
      </c>
      <c r="B11">
        <v>0</v>
      </c>
      <c r="C11" s="14">
        <f t="shared" si="1"/>
        <v>0</v>
      </c>
      <c r="D11" s="14">
        <f t="shared" si="3"/>
        <v>0</v>
      </c>
      <c r="E11" s="14">
        <f t="shared" si="3"/>
        <v>0</v>
      </c>
      <c r="F11" s="14">
        <f t="shared" si="3"/>
        <v>0</v>
      </c>
      <c r="G11" s="14">
        <f t="shared" si="3"/>
        <v>0</v>
      </c>
      <c r="H11" s="14">
        <f t="shared" si="3"/>
        <v>0</v>
      </c>
      <c r="I11" s="14">
        <f t="shared" si="3"/>
        <v>0</v>
      </c>
      <c r="J11" s="14">
        <f t="shared" si="3"/>
        <v>0</v>
      </c>
      <c r="K11" s="14">
        <f t="shared" si="3"/>
        <v>0</v>
      </c>
      <c r="L11" s="14">
        <f t="shared" si="3"/>
        <v>0</v>
      </c>
      <c r="M11" s="14">
        <f t="shared" si="3"/>
        <v>0</v>
      </c>
      <c r="N11" s="14">
        <f t="shared" si="3"/>
        <v>0</v>
      </c>
      <c r="O11" s="14">
        <f t="shared" si="3"/>
        <v>0</v>
      </c>
      <c r="P11" s="14">
        <f t="shared" si="3"/>
        <v>0</v>
      </c>
      <c r="Q11" s="14">
        <f t="shared" si="3"/>
        <v>0</v>
      </c>
      <c r="R11" s="14">
        <f t="shared" si="3"/>
        <v>0</v>
      </c>
      <c r="S11" s="14">
        <f t="shared" si="3"/>
        <v>0</v>
      </c>
      <c r="T11" s="14">
        <f t="shared" si="3"/>
        <v>0</v>
      </c>
      <c r="U11" s="14">
        <f t="shared" si="3"/>
        <v>0</v>
      </c>
      <c r="V11" s="14">
        <f t="shared" si="3"/>
        <v>0</v>
      </c>
      <c r="W11" s="14">
        <f t="shared" si="3"/>
        <v>0</v>
      </c>
      <c r="X11" s="14">
        <f t="shared" si="3"/>
        <v>0</v>
      </c>
      <c r="Y11" s="14">
        <f t="shared" si="3"/>
        <v>0</v>
      </c>
      <c r="Z11" s="14">
        <f t="shared" si="3"/>
        <v>0</v>
      </c>
      <c r="AA11" s="14">
        <f t="shared" si="3"/>
        <v>0</v>
      </c>
      <c r="AB11" s="14">
        <f t="shared" si="3"/>
        <v>0</v>
      </c>
      <c r="AC11" s="14">
        <f t="shared" si="3"/>
        <v>0</v>
      </c>
      <c r="AD11" s="14">
        <f t="shared" si="3"/>
        <v>0</v>
      </c>
      <c r="AE11" s="14">
        <f t="shared" si="3"/>
        <v>0</v>
      </c>
      <c r="AF11" s="14">
        <f t="shared" si="3"/>
        <v>0</v>
      </c>
      <c r="AG11" s="14">
        <f t="shared" si="3"/>
        <v>0</v>
      </c>
      <c r="AH11" s="14">
        <f t="shared" si="3"/>
        <v>0</v>
      </c>
      <c r="AI11" s="14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tabSelected="1" workbookViewId="0">
      <selection activeCell="L34" sqref="L33:L34"/>
    </sheetView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4">
        <f t="shared" ref="B2:C2" si="0">(C2-D2)+C2</f>
        <v>707.69142249999993</v>
      </c>
      <c r="C2" s="14">
        <f t="shared" si="0"/>
        <v>676.19336499999997</v>
      </c>
      <c r="D2" s="14">
        <f>(E2-F2)+E2</f>
        <v>644.69530750000001</v>
      </c>
      <c r="E2" s="14">
        <f>'Texas Data'!B28</f>
        <v>613.19725000000005</v>
      </c>
      <c r="F2" s="14">
        <f>0.9*E2+0.1*O2</f>
        <v>581.69919250000009</v>
      </c>
      <c r="G2" s="14">
        <f>0.8*E2+0.2*O2</f>
        <v>550.20113500000002</v>
      </c>
      <c r="H2" s="14">
        <f>0.7*E2+0.3*O2</f>
        <v>518.70307750000006</v>
      </c>
      <c r="I2" s="14">
        <f>0.6*E2+0.4*O2</f>
        <v>487.20502000000005</v>
      </c>
      <c r="J2" s="14">
        <f>0.5*E2+0.5*O2</f>
        <v>455.70696250000003</v>
      </c>
      <c r="K2" s="14">
        <f>0.4*E2+0.6*O2</f>
        <v>424.20890500000002</v>
      </c>
      <c r="L2" s="14">
        <f>0.3*E2+0.7*O2</f>
        <v>392.7108475</v>
      </c>
      <c r="M2" s="14">
        <f>0.2*E2+0.8*O2</f>
        <v>361.21279000000004</v>
      </c>
      <c r="N2" s="14">
        <f>0.1*E2+0.9*O2</f>
        <v>329.71473250000003</v>
      </c>
      <c r="O2" s="14">
        <f>'Texas Data'!C28</f>
        <v>298.21667500000001</v>
      </c>
      <c r="P2" s="14">
        <f>0.9*O2+0.1*Y2</f>
        <v>292.10466000000002</v>
      </c>
      <c r="Q2" s="14">
        <f>0.8*O2+0.2*Y2</f>
        <v>285.99264500000004</v>
      </c>
      <c r="R2" s="14">
        <f>0.7*O2+0.3*Y2</f>
        <v>279.88063</v>
      </c>
      <c r="S2" s="14">
        <f>0.6*O2+0.4*Y2</f>
        <v>273.76861500000001</v>
      </c>
      <c r="T2" s="14">
        <f>0.5*O2+0.5*Y2</f>
        <v>267.65660000000003</v>
      </c>
      <c r="U2" s="14">
        <f>0.4*O2+0.6*Y2</f>
        <v>261.54458499999998</v>
      </c>
      <c r="V2" s="14">
        <f>0.3*O2+0.7*Y2</f>
        <v>255.43257</v>
      </c>
      <c r="W2" s="14">
        <f>0.2*O2+0.8*Y2</f>
        <v>249.32055500000004</v>
      </c>
      <c r="X2" s="14">
        <f>0.1*O2+0.9*Y2</f>
        <v>243.20854000000003</v>
      </c>
      <c r="Y2" s="14">
        <f>'Texas Data'!D28</f>
        <v>237.09652500000001</v>
      </c>
      <c r="Z2" s="14">
        <f>0.9*Y2+0.1*AI2</f>
        <v>234.91798500000002</v>
      </c>
      <c r="AA2" s="14">
        <f>0.8*Y2+0.2*AI2</f>
        <v>232.73944500000005</v>
      </c>
      <c r="AB2" s="14">
        <f>0.7*Y2+0.3*AI2</f>
        <v>230.56090499999999</v>
      </c>
      <c r="AC2" s="14">
        <f>0.6*Y2+0.4*AI2</f>
        <v>228.38236499999999</v>
      </c>
      <c r="AD2" s="14">
        <f>0.5*Y2+0.5*AI2</f>
        <v>226.20382499999999</v>
      </c>
      <c r="AE2" s="14">
        <f>0.4*Y2+0.6*AI2</f>
        <v>224.02528500000003</v>
      </c>
      <c r="AF2" s="14">
        <f>0.3*Y2+0.7*AI2</f>
        <v>221.846745</v>
      </c>
      <c r="AG2" s="14">
        <f>0.2*Y2+0.8*AI2</f>
        <v>219.66820500000003</v>
      </c>
      <c r="AH2" s="14">
        <f>0.1*Y2+0.9*AI2</f>
        <v>217.489665</v>
      </c>
      <c r="AI2" s="14">
        <f>'Texas Data'!E28</f>
        <v>215.311125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Texas 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2019-12-04T00:52:30Z</dcterms:created>
  <dcterms:modified xsi:type="dcterms:W3CDTF">2020-06-29T17:16:27Z</dcterms:modified>
</cp:coreProperties>
</file>