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han\Documents\eps-texas\InputData\elec\BCpUC\"/>
    </mc:Choice>
  </mc:AlternateContent>
  <bookViews>
    <workbookView xWindow="10560" yWindow="458" windowWidth="18240" windowHeight="14460" activeTab="3"/>
  </bookViews>
  <sheets>
    <sheet name="About" sheetId="2" r:id="rId1"/>
    <sheet name="Calculations" sheetId="1" r:id="rId2"/>
    <sheet name="Texas Calculations" sheetId="5" r:id="rId3"/>
    <sheet name="Texas Notes" sheetId="4" r:id="rId4"/>
    <sheet name="BCpUC" sheetId="3" r:id="rId5"/>
  </sheets>
  <calcPr calcId="191029"/>
</workbook>
</file>

<file path=xl/calcChain.xml><?xml version="1.0" encoding="utf-8"?>
<calcChain xmlns="http://schemas.openxmlformats.org/spreadsheetml/2006/main">
  <c r="F11" i="4" l="1"/>
  <c r="B13" i="3" s="1"/>
  <c r="F9" i="4"/>
  <c r="B6" i="3" s="1"/>
  <c r="E10" i="4"/>
  <c r="E11" i="4"/>
  <c r="E12" i="4"/>
  <c r="E13" i="4"/>
  <c r="E14" i="4"/>
  <c r="E15" i="4"/>
  <c r="E16" i="4"/>
  <c r="E9" i="4"/>
  <c r="C9" i="4"/>
  <c r="C10" i="4"/>
  <c r="F10" i="4" s="1"/>
  <c r="B8" i="3" s="1"/>
  <c r="C11" i="4"/>
  <c r="C12" i="4"/>
  <c r="F12" i="4" s="1"/>
  <c r="B18" i="3" s="1"/>
  <c r="C13" i="4"/>
  <c r="F13" i="4" s="1"/>
  <c r="B23" i="3" s="1"/>
  <c r="C14" i="4"/>
  <c r="F14" i="4" s="1"/>
  <c r="B28" i="3" s="1"/>
  <c r="C15" i="4"/>
  <c r="F15" i="4" s="1"/>
  <c r="B33" i="3" s="1"/>
  <c r="C16" i="4"/>
  <c r="F16" i="4" s="1"/>
  <c r="B38" i="3" s="1"/>
  <c r="B36" i="3" l="1"/>
  <c r="B31" i="3"/>
  <c r="B27" i="3"/>
  <c r="B16" i="3"/>
  <c r="B11" i="3"/>
  <c r="B34" i="3" l="1"/>
  <c r="B21" i="3"/>
  <c r="B29" i="3"/>
  <c r="B12" i="3"/>
  <c r="B26" i="3"/>
  <c r="B9" i="3"/>
  <c r="B32" i="3"/>
  <c r="B17" i="3"/>
  <c r="B22" i="3"/>
  <c r="B37" i="3"/>
  <c r="B19" i="3"/>
  <c r="B24" i="3"/>
  <c r="B7" i="3"/>
  <c r="B5" i="3" s="1"/>
  <c r="B4" i="3" s="1"/>
  <c r="B3" i="3" s="1"/>
  <c r="B2" i="3" s="1"/>
  <c r="B10" i="3"/>
  <c r="B15" i="3"/>
  <c r="B20" i="3"/>
  <c r="B25" i="3"/>
  <c r="B30" i="3"/>
  <c r="B35" i="3"/>
  <c r="B14" i="3"/>
  <c r="F15" i="5"/>
  <c r="F16" i="5"/>
  <c r="F17" i="5"/>
  <c r="F18" i="5"/>
  <c r="B15" i="5"/>
  <c r="B16" i="5"/>
  <c r="B17" i="5"/>
  <c r="B18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19" i="5"/>
  <c r="C41" i="5"/>
  <c r="D41" i="5" s="1"/>
  <c r="E41" i="5" s="1"/>
  <c r="C51" i="5"/>
  <c r="C46" i="5"/>
  <c r="D46" i="5" s="1"/>
  <c r="C36" i="5"/>
  <c r="D36" i="5" s="1"/>
  <c r="E36" i="5" s="1"/>
  <c r="C31" i="5"/>
  <c r="D31" i="5" s="1"/>
  <c r="C26" i="5"/>
  <c r="D26" i="5" s="1"/>
  <c r="E26" i="5" s="1"/>
  <c r="C21" i="5"/>
  <c r="D21" i="5" s="1"/>
  <c r="C19" i="5"/>
  <c r="D19" i="5" s="1"/>
  <c r="E19" i="5" s="1"/>
  <c r="E31" i="5" l="1"/>
  <c r="G31" i="5" s="1"/>
  <c r="E46" i="5"/>
  <c r="G46" i="5" s="1"/>
  <c r="E21" i="5"/>
  <c r="G21" i="5" s="1"/>
  <c r="C49" i="5"/>
  <c r="D49" i="5" s="1"/>
  <c r="E49" i="5" s="1"/>
  <c r="G49" i="5" s="1"/>
  <c r="D51" i="5"/>
  <c r="E51" i="5" s="1"/>
  <c r="G51" i="5" s="1"/>
  <c r="C38" i="5"/>
  <c r="D38" i="5" s="1"/>
  <c r="E38" i="5" s="1"/>
  <c r="G38" i="5" s="1"/>
  <c r="G41" i="5"/>
  <c r="G26" i="5"/>
  <c r="G19" i="5"/>
  <c r="G36" i="5"/>
  <c r="C25" i="5"/>
  <c r="D25" i="5" s="1"/>
  <c r="E25" i="5" s="1"/>
  <c r="C48" i="5"/>
  <c r="D48" i="5" s="1"/>
  <c r="E48" i="5" s="1"/>
  <c r="C50" i="5"/>
  <c r="D50" i="5" s="1"/>
  <c r="E50" i="5" s="1"/>
  <c r="C30" i="5"/>
  <c r="D30" i="5" s="1"/>
  <c r="E30" i="5" s="1"/>
  <c r="C35" i="5"/>
  <c r="D35" i="5" s="1"/>
  <c r="E35" i="5" s="1"/>
  <c r="C40" i="5"/>
  <c r="D40" i="5" s="1"/>
  <c r="E40" i="5" s="1"/>
  <c r="C45" i="5"/>
  <c r="D45" i="5" s="1"/>
  <c r="E45" i="5" s="1"/>
  <c r="C22" i="5"/>
  <c r="D22" i="5" s="1"/>
  <c r="E22" i="5" s="1"/>
  <c r="C27" i="5"/>
  <c r="D27" i="5" s="1"/>
  <c r="E27" i="5" s="1"/>
  <c r="C32" i="5"/>
  <c r="D32" i="5" s="1"/>
  <c r="E32" i="5" s="1"/>
  <c r="C37" i="5"/>
  <c r="D37" i="5" s="1"/>
  <c r="E37" i="5" s="1"/>
  <c r="C42" i="5"/>
  <c r="D42" i="5" s="1"/>
  <c r="E42" i="5" s="1"/>
  <c r="C47" i="5"/>
  <c r="D47" i="5" s="1"/>
  <c r="E47" i="5" s="1"/>
  <c r="C23" i="5"/>
  <c r="D23" i="5" s="1"/>
  <c r="E23" i="5" s="1"/>
  <c r="E18" i="5" s="1"/>
  <c r="C28" i="5"/>
  <c r="D28" i="5" s="1"/>
  <c r="E28" i="5" s="1"/>
  <c r="C33" i="5"/>
  <c r="D33" i="5" s="1"/>
  <c r="E33" i="5" s="1"/>
  <c r="C43" i="5"/>
  <c r="D43" i="5" s="1"/>
  <c r="E43" i="5" s="1"/>
  <c r="C24" i="5"/>
  <c r="D24" i="5" s="1"/>
  <c r="E24" i="5" s="1"/>
  <c r="C29" i="5"/>
  <c r="D29" i="5" s="1"/>
  <c r="E29" i="5" s="1"/>
  <c r="C34" i="5"/>
  <c r="D34" i="5" s="1"/>
  <c r="E34" i="5" s="1"/>
  <c r="C39" i="5"/>
  <c r="D39" i="5" s="1"/>
  <c r="E39" i="5" s="1"/>
  <c r="C44" i="5"/>
  <c r="D44" i="5" s="1"/>
  <c r="E44" i="5" s="1"/>
  <c r="C20" i="5"/>
  <c r="D20" i="5" s="1"/>
  <c r="E20" i="5" s="1"/>
  <c r="E17" i="5" l="1"/>
  <c r="G18" i="5"/>
  <c r="G29" i="5"/>
  <c r="G28" i="5"/>
  <c r="G45" i="5"/>
  <c r="G44" i="5"/>
  <c r="G23" i="5"/>
  <c r="G40" i="5"/>
  <c r="G48" i="5"/>
  <c r="G39" i="5"/>
  <c r="G43" i="5"/>
  <c r="G47" i="5"/>
  <c r="G27" i="5"/>
  <c r="G35" i="5"/>
  <c r="G25" i="5"/>
  <c r="G20" i="5"/>
  <c r="G37" i="5"/>
  <c r="G50" i="5"/>
  <c r="G24" i="5"/>
  <c r="G32" i="5"/>
  <c r="G34" i="5"/>
  <c r="G33" i="5"/>
  <c r="G42" i="5"/>
  <c r="G22" i="5"/>
  <c r="G30" i="5"/>
  <c r="B116" i="1"/>
  <c r="B114" i="1"/>
  <c r="B112" i="1"/>
  <c r="B111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A33" i="3"/>
  <c r="A34" i="3"/>
  <c r="A35" i="3"/>
  <c r="A36" i="3"/>
  <c r="A37" i="3"/>
  <c r="A3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B51" i="1"/>
  <c r="B115" i="1" s="1"/>
  <c r="B49" i="1"/>
  <c r="B113" i="1" s="1"/>
  <c r="B47" i="1"/>
  <c r="B45" i="1"/>
  <c r="B109" i="1" s="1"/>
  <c r="B43" i="1"/>
  <c r="B107" i="1" s="1"/>
  <c r="B41" i="1"/>
  <c r="B105" i="1" s="1"/>
  <c r="B39" i="1"/>
  <c r="B103" i="1" s="1"/>
  <c r="B37" i="1"/>
  <c r="B101" i="1" s="1"/>
  <c r="B35" i="1"/>
  <c r="B99" i="1" s="1"/>
  <c r="B33" i="1"/>
  <c r="B97" i="1" s="1"/>
  <c r="E16" i="5" l="1"/>
  <c r="G17" i="5"/>
  <c r="C61" i="1"/>
  <c r="C62" i="1"/>
  <c r="C63" i="1"/>
  <c r="C64" i="1"/>
  <c r="C60" i="1"/>
  <c r="E15" i="5" l="1"/>
  <c r="G15" i="5" s="1"/>
  <c r="G16" i="5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B12" i="1" l="1"/>
  <c r="B76" i="1" s="1"/>
  <c r="B13" i="1"/>
  <c r="B77" i="1" s="1"/>
  <c r="B14" i="1"/>
  <c r="B78" i="1" s="1"/>
  <c r="B31" i="1"/>
  <c r="B95" i="1" s="1"/>
  <c r="B29" i="1"/>
  <c r="B93" i="1" s="1"/>
  <c r="B27" i="1"/>
  <c r="B91" i="1" s="1"/>
  <c r="B25" i="1"/>
  <c r="B89" i="1" s="1"/>
  <c r="B23" i="1"/>
  <c r="B87" i="1" s="1"/>
  <c r="B21" i="1"/>
  <c r="B85" i="1" s="1"/>
  <c r="B16" i="1"/>
  <c r="B80" i="1" s="1"/>
  <c r="B17" i="1"/>
  <c r="B81" i="1" s="1"/>
  <c r="B18" i="1"/>
  <c r="B82" i="1" s="1"/>
  <c r="B19" i="1"/>
  <c r="B83" i="1" s="1"/>
  <c r="B15" i="1"/>
  <c r="B79" i="1" s="1"/>
  <c r="C65" i="1"/>
  <c r="C76" i="1" s="1"/>
  <c r="C112" i="1" l="1"/>
  <c r="C114" i="1"/>
  <c r="C116" i="1"/>
  <c r="C108" i="1"/>
  <c r="C100" i="1"/>
  <c r="C110" i="1"/>
  <c r="C104" i="1"/>
  <c r="C106" i="1"/>
  <c r="C97" i="1"/>
  <c r="C102" i="1"/>
  <c r="C115" i="1"/>
  <c r="C98" i="1"/>
  <c r="C111" i="1"/>
  <c r="C113" i="1"/>
  <c r="C107" i="1"/>
  <c r="C109" i="1"/>
  <c r="C103" i="1"/>
  <c r="C105" i="1"/>
  <c r="C101" i="1"/>
  <c r="C99" i="1"/>
  <c r="C78" i="1"/>
  <c r="C94" i="1"/>
  <c r="C86" i="1"/>
  <c r="C84" i="1"/>
  <c r="C88" i="1"/>
  <c r="C92" i="1"/>
  <c r="C96" i="1"/>
  <c r="C81" i="1"/>
  <c r="C89" i="1"/>
  <c r="C77" i="1"/>
  <c r="C82" i="1"/>
  <c r="C90" i="1"/>
  <c r="C87" i="1"/>
  <c r="C80" i="1"/>
  <c r="C95" i="1"/>
  <c r="C85" i="1"/>
  <c r="C83" i="1"/>
  <c r="C79" i="1"/>
  <c r="C93" i="1"/>
  <c r="C91" i="1"/>
</calcChain>
</file>

<file path=xl/sharedStrings.xml><?xml version="1.0" encoding="utf-8"?>
<sst xmlns="http://schemas.openxmlformats.org/spreadsheetml/2006/main" count="78" uniqueCount="64">
  <si>
    <t>$/kW</t>
  </si>
  <si>
    <t>Year</t>
  </si>
  <si>
    <t>$2012/kW</t>
  </si>
  <si>
    <t>$/kWh</t>
  </si>
  <si>
    <t>Frequency Regulation and Renewables Integration Grid Scale Lithium Ion Battery Storage Capacity Cost</t>
  </si>
  <si>
    <t>Cost Curve for Grid-Scale Lithium Ion Storage</t>
  </si>
  <si>
    <t>Li-Ion Battery Capital Cost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</si>
  <si>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</si>
  <si>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</si>
  <si>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</si>
  <si>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</si>
  <si>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</si>
  <si>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</si>
  <si>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</si>
  <si>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</si>
  <si>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</si>
  <si>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</si>
  <si>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</si>
  <si>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First, we start with projections from RMI of battery costs.  (RMI has themselves averaged projections</t>
  </si>
  <si>
    <t>from the EIA, Bloomberg New Energy Finance, and Navigant Consulting to obtain their estimates.)</t>
  </si>
  <si>
    <t>These estimates are reported in dollars per kWh, but we need it per unit capacity (per kW).</t>
  </si>
  <si>
    <t>We ignore results from 2014 and 2016 (because they are influenced by tax credits, whose effects we</t>
  </si>
  <si>
    <t>Next, we need to convert the values from $/kWh to $/kW.  We use a Sandia National Laboratory report</t>
  </si>
  <si>
    <t>that provides some dollar values for batteries in 2010 in $/kW.  We average their data points, then</t>
  </si>
  <si>
    <t>correct for inflation to obtain the costs in 2012 dollars.</t>
  </si>
  <si>
    <t>Finally, we apply the difference in 2010 between batteries per kWh and per kW to obtain per kW values</t>
  </si>
  <si>
    <t>for all years.  This involves an assumption that the difference is constant, which might not be true, if future</t>
  </si>
  <si>
    <t>batteries deliver more services (more kWh) for the same capacity (same kW).  However, batteries</t>
  </si>
  <si>
    <t>already can be used a large percentage of the time, so there may be limited scope for further improvements</t>
  </si>
  <si>
    <t>AVERAGE</t>
  </si>
  <si>
    <t>Li-Ion Battery Capital Cost ($/kWh)</t>
  </si>
  <si>
    <t>Battery Cost ($/MW)</t>
  </si>
  <si>
    <t>Note:</t>
  </si>
  <si>
    <t>See "cpi.xlsx" in the InputData folder for source information.</t>
  </si>
  <si>
    <t>We adjust 2010 dollars to 2012 dollars using the following conversion factor:</t>
  </si>
  <si>
    <t>BCpUC Battery Cost per Unit Capacity</t>
  </si>
  <si>
    <t>Polynomial (2nd Order) Fit for 2018-2030 data</t>
  </si>
  <si>
    <r>
      <t>y = 0.4759523810x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- 1,937.6138095236x + 1,972,141.5814283900</t>
    </r>
  </si>
  <si>
    <t>We curve fit the 2018-2030 data, which nicely matches a second-order polynomial, and use this</t>
  </si>
  <si>
    <t>equation to fill in data for missing years before 2030.  After 2030, the data is linear, so we</t>
  </si>
  <si>
    <t>linearly interpolate to find missing values.</t>
  </si>
  <si>
    <t>in maximum battery usage rate.</t>
  </si>
  <si>
    <t>do not wish to capture). Then curve fit the remaining years to get values for 2010 through 2050.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</si>
  <si>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</si>
  <si>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</si>
  <si>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</si>
  <si>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Investment Periods</t>
  </si>
  <si>
    <t>EPS Original</t>
  </si>
  <si>
    <t>Ratio</t>
  </si>
  <si>
    <t>Li-Ion Battery Capital Cost ($/kW)</t>
  </si>
  <si>
    <t>New</t>
  </si>
  <si>
    <t>WISdom (2018 Costs)</t>
  </si>
  <si>
    <t>WISdom (2012 Dollars)</t>
  </si>
  <si>
    <t>I used data from the endo-learn/Grid Battery Energy to Power Ratio spreadsheet</t>
  </si>
  <si>
    <t>So, a 1 MWh-energy battery is equal to a 0.42 MW-power battery.</t>
  </si>
  <si>
    <t>That spreadsheet calculates that the average battery has 2.4 hours of storage. That is, when discharging at it's maximum rate, a battery will take 2.4 hours to completely discharge.</t>
  </si>
  <si>
    <t>NOTE - this is an archived calculation. I found a more straight-forward way to do this, but kept the old calculation in case we need it later.</t>
  </si>
  <si>
    <t>Overnight Capital Costs of Energy Storage 2018 $/kWh</t>
  </si>
  <si>
    <t>2012 $/kWh</t>
  </si>
  <si>
    <t xml:space="preserve">WISdom has broken the costs into a per kW and a per kWh component, so the battery capital is higher for both power and energy. </t>
  </si>
  <si>
    <t>The EPS sources are a bit outdated, so we use the same data as the VCE WISdom model, which comes from the 2019 NREL ATB.</t>
  </si>
  <si>
    <t>2012 $/kW</t>
  </si>
  <si>
    <t>Storage 2018 $/kw</t>
  </si>
  <si>
    <t>if each kW battery is 2.4 kWh (2012 $/kWh)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</si>
</sst>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#,##0.000"/>
    <numFmt numFmtId="166" formatCode="0.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Open Sans"/>
    </font>
    <font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1"/>
    <xf numFmtId="0" fontId="0" fillId="0" borderId="0" xfId="0" applyAlignment="1">
      <alignment horizontal="left"/>
    </xf>
    <xf numFmtId="0" fontId="0" fillId="0" borderId="0" xfId="0" applyFont="1"/>
    <xf numFmtId="1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8" fillId="0" borderId="0" xfId="0" applyFont="1" applyAlignment="1">
      <alignment horizontal="left" vertical="center" readingOrder="1"/>
    </xf>
    <xf numFmtId="164" fontId="0" fillId="0" borderId="0" xfId="0" applyNumberFormat="1" applyFont="1"/>
    <xf numFmtId="0" fontId="10" fillId="0" borderId="0" xfId="0" applyFont="1"/>
    <xf numFmtId="49" fontId="11" fillId="0" borderId="0" xfId="0" applyNumberFormat="1" applyFont="1"/>
    <xf numFmtId="4" fontId="11" fillId="0" borderId="0" xfId="0" applyNumberFormat="1" applyFont="1"/>
    <xf numFmtId="0" fontId="13" fillId="0" borderId="0" xfId="0" applyFont="1"/>
    <xf numFmtId="0" fontId="14" fillId="2" borderId="0" xfId="0" applyFont="1" applyFill="1"/>
    <xf numFmtId="0" fontId="13" fillId="2" borderId="0" xfId="0" applyFont="1" applyFill="1"/>
    <xf numFmtId="0" fontId="13" fillId="0" borderId="0" xfId="0" applyFont="1" applyFill="1"/>
    <xf numFmtId="164" fontId="13" fillId="0" borderId="0" xfId="0" applyNumberFormat="1" applyFont="1" applyFill="1"/>
    <xf numFmtId="2" fontId="13" fillId="0" borderId="0" xfId="0" applyNumberFormat="1" applyFont="1"/>
    <xf numFmtId="164" fontId="13" fillId="0" borderId="0" xfId="0" applyNumberFormat="1" applyFont="1"/>
    <xf numFmtId="0" fontId="15" fillId="0" borderId="0" xfId="0" applyFont="1" applyFill="1"/>
    <xf numFmtId="164" fontId="14" fillId="0" borderId="0" xfId="0" applyNumberFormat="1" applyFont="1" applyFill="1"/>
    <xf numFmtId="164" fontId="15" fillId="0" borderId="0" xfId="0" applyNumberFormat="1" applyFont="1" applyFill="1"/>
    <xf numFmtId="0" fontId="12" fillId="0" borderId="0" xfId="0" applyFont="1"/>
    <xf numFmtId="0" fontId="16" fillId="0" borderId="0" xfId="0" applyFont="1"/>
    <xf numFmtId="0" fontId="17" fillId="4" borderId="5" xfId="0" applyFont="1" applyFill="1" applyBorder="1"/>
    <xf numFmtId="165" fontId="18" fillId="5" borderId="6" xfId="0" applyNumberFormat="1" applyFont="1" applyFill="1" applyBorder="1"/>
    <xf numFmtId="165" fontId="18" fillId="5" borderId="7" xfId="0" applyNumberFormat="1" applyFont="1" applyFill="1" applyBorder="1"/>
    <xf numFmtId="0" fontId="17" fillId="4" borderId="0" xfId="0" applyFont="1" applyFill="1" applyBorder="1"/>
    <xf numFmtId="166" fontId="0" fillId="0" borderId="0" xfId="0" applyNumberFormat="1"/>
    <xf numFmtId="0" fontId="0" fillId="0" borderId="0" xfId="0" applyFill="1" applyBorder="1"/>
    <xf numFmtId="0" fontId="17" fillId="0" borderId="0" xfId="0" applyFont="1" applyFill="1" applyBorder="1"/>
    <xf numFmtId="49" fontId="18" fillId="0" borderId="0" xfId="0" applyNumberFormat="1" applyFont="1" applyFill="1" applyBorder="1"/>
    <xf numFmtId="165" fontId="18" fillId="0" borderId="0" xfId="0" applyNumberFormat="1" applyFont="1" applyFill="1" applyBorder="1"/>
    <xf numFmtId="0" fontId="13" fillId="0" borderId="0" xfId="0" applyFont="1" applyAlignment="1">
      <alignment horizontal="center"/>
    </xf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Calculations!$B$11</c:f>
              <c:strCache>
                <c:ptCount val="1"/>
                <c:pt idx="0">
                  <c:v>Li-Ion Battery Capital Cost ($/kWh)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alculations!$A$16,Calculations!$A$18,Calculations!$A$20,Calculations!$A$22,Calculations!$A$24,Calculations!$A$26,Calculations!$A$28,Calculations!$A$30,Calculations!$A$32,Calculations!$A$34,Calculations!$A$36,Calculations!$A$38,Calculations!$A$40,Calculations!$A$42,Calculations!$A$44,Calculations!$A$46,Calculations!$A$48,Calculations!$A$50,Calculations!$A$52)</c:f>
              <c:numCache>
                <c:formatCode>General</c:formatCode>
                <c:ptCount val="19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</c:numCache>
            </c:numRef>
          </c:xVal>
          <c:yVal>
            <c:numRef>
              <c:f>(Calculations!$B$16,Calculations!$B$18,Calculations!$B$20,Calculations!$B$22,Calculations!$B$24,Calculations!$B$26,Calculations!$B$28,Calculations!$B$30,Calculations!$B$32,Calculations!$B$34,Calculations!$B$36,Calculations!$B$38,Calculations!$B$40,Calculations!$B$42,Calculations!$B$44,Calculations!$B$46,Calculations!$B$48,Calculations!$B$50,Calculations!$B$52)</c:f>
              <c:numCache>
                <c:formatCode>"$"#,##0.00</c:formatCode>
                <c:ptCount val="19"/>
                <c:pt idx="0">
                  <c:v>343.51305053569376</c:v>
                </c:pt>
                <c:pt idx="1">
                  <c:v>304.46162234828807</c:v>
                </c:pt>
                <c:pt idx="2">
                  <c:v>269.83</c:v>
                </c:pt>
                <c:pt idx="3">
                  <c:v>236.56</c:v>
                </c:pt>
                <c:pt idx="4">
                  <c:v>210.4</c:v>
                </c:pt>
                <c:pt idx="5">
                  <c:v>186.83</c:v>
                </c:pt>
                <c:pt idx="6">
                  <c:v>166.37</c:v>
                </c:pt>
                <c:pt idx="7">
                  <c:v>149.96</c:v>
                </c:pt>
                <c:pt idx="8">
                  <c:v>137.68</c:v>
                </c:pt>
                <c:pt idx="9">
                  <c:v>133.44999999999999</c:v>
                </c:pt>
                <c:pt idx="10">
                  <c:v>130.38999999999999</c:v>
                </c:pt>
                <c:pt idx="11">
                  <c:v>127.93</c:v>
                </c:pt>
                <c:pt idx="12">
                  <c:v>125.78</c:v>
                </c:pt>
                <c:pt idx="13">
                  <c:v>123.76</c:v>
                </c:pt>
                <c:pt idx="14">
                  <c:v>121.6</c:v>
                </c:pt>
                <c:pt idx="15">
                  <c:v>119.5</c:v>
                </c:pt>
                <c:pt idx="16">
                  <c:v>117.48</c:v>
                </c:pt>
                <c:pt idx="17">
                  <c:v>115.51</c:v>
                </c:pt>
                <c:pt idx="18">
                  <c:v>113.61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9-436B-B23F-B2D2609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0224"/>
        <c:axId val="145572224"/>
      </c:scatterChart>
      <c:valAx>
        <c:axId val="1383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2224"/>
        <c:crosses val="autoZero"/>
        <c:crossBetween val="midCat"/>
      </c:valAx>
      <c:valAx>
        <c:axId val="1455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395286</xdr:colOff>
      <xdr:row>11</xdr:row>
      <xdr:rowOff>47625</xdr:rowOff>
    </xdr:from>
    <xdr:to>
      <xdr:col>13</xdr:col>
      <xdr:colOff>295275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5" sqref="B5"/>
    </sheetView>
  </sheetViews>
  <sheetFormatPr defaultColWidth="8.796875" defaultRowHeight="14.25"/>
  <cols>
    <col min="2" max="2" width="67.1328125" customWidth="1"/>
  </cols>
  <sheetData>
    <row r="1" spans="1:2">
      <c r="A1" s="1" t="s">
        <v>35</v>
      </c>
    </row>
    <row r="3" spans="1:2">
      <c r="A3" s="1" t="s">
        <v>7</v>
      </c>
      <c r="B3" s="5" t="s">
        <v>8</v>
      </c>
    </row>
    <row r="4" spans="1:2">
      <c r="B4" t="s">
        <v>9</v>
      </c>
    </row>
    <row r="5" spans="1:2">
      <c r="B5" s="7">
        <v>2014</v>
      </c>
    </row>
    <row r="6" spans="1:2">
      <c r="B6" t="s">
        <v>10</v>
      </c>
    </row>
    <row r="7" spans="1:2">
      <c r="B7" s="6" t="s">
        <v>12</v>
      </c>
    </row>
    <row r="8" spans="1:2">
      <c r="B8" t="s">
        <v>11</v>
      </c>
    </row>
    <row r="10" spans="1:2">
      <c r="B10" s="5" t="s">
        <v>13</v>
      </c>
    </row>
    <row r="11" spans="1:2">
      <c r="B11" t="s">
        <v>14</v>
      </c>
    </row>
    <row r="12" spans="1:2">
      <c r="B12" s="7">
        <v>2013</v>
      </c>
    </row>
    <row r="13" spans="1:2">
      <c r="B13" t="s">
        <v>15</v>
      </c>
    </row>
    <row r="14" spans="1:2">
      <c r="B14" s="6" t="s">
        <v>16</v>
      </c>
    </row>
    <row r="15" spans="1:2">
      <c r="B15" t="s">
        <v>17</v>
      </c>
    </row>
    <row r="17" spans="1:1">
      <c r="A17" s="16" t="s">
        <v>32</v>
      </c>
    </row>
    <row r="18" spans="1:1" s="15" customFormat="1">
      <c r="A18" s="8" t="s">
        <v>43</v>
      </c>
    </row>
    <row r="19" spans="1:1" s="15" customFormat="1">
      <c r="A19" s="8" t="s">
        <v>44</v>
      </c>
    </row>
    <row r="20" spans="1:1" s="15" customFormat="1">
      <c r="A20" s="8" t="s">
        <v>45</v>
      </c>
    </row>
    <row r="21" spans="1:1" s="15" customFormat="1">
      <c r="A21" s="16"/>
    </row>
    <row r="22" spans="1:1">
      <c r="A22" s="15" t="s">
        <v>34</v>
      </c>
    </row>
    <row r="23" spans="1:1">
      <c r="A23" s="15">
        <v>1.0549999999999999</v>
      </c>
    </row>
    <row r="24" spans="1:1">
      <c r="A24" s="15" t="s">
        <v>33</v>
      </c>
    </row>
  </sheetData>
  <hyperlinks>
    <hyperlink ref="B7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62" workbookViewId="0">
      <selection activeCell="D76" sqref="D76"/>
    </sheetView>
  </sheetViews>
  <sheetFormatPr defaultColWidth="8.796875" defaultRowHeight="14.25"/>
  <cols>
    <col min="1" max="1" width="13.796875" customWidth="1"/>
    <col min="3" max="3" width="9.6640625" bestFit="1" customWidth="1"/>
  </cols>
  <sheetData>
    <row r="1" spans="1:4">
      <c r="A1" t="s">
        <v>18</v>
      </c>
    </row>
    <row r="2" spans="1:4">
      <c r="A2" t="s">
        <v>19</v>
      </c>
    </row>
    <row r="3" spans="1:4">
      <c r="A3" t="s">
        <v>20</v>
      </c>
    </row>
    <row r="4" spans="1:4">
      <c r="A4" t="s">
        <v>21</v>
      </c>
    </row>
    <row r="5" spans="1:4">
      <c r="A5" s="8" t="s">
        <v>42</v>
      </c>
    </row>
    <row r="6" spans="1:4" s="15" customFormat="1">
      <c r="A6" s="8" t="s">
        <v>38</v>
      </c>
    </row>
    <row r="7" spans="1:4" s="15" customFormat="1">
      <c r="A7" s="8" t="s">
        <v>39</v>
      </c>
    </row>
    <row r="8" spans="1:4" s="15" customFormat="1">
      <c r="A8" s="8" t="s">
        <v>40</v>
      </c>
    </row>
    <row r="9" spans="1:4">
      <c r="A9" s="8"/>
    </row>
    <row r="10" spans="1:4">
      <c r="A10" s="5" t="s">
        <v>5</v>
      </c>
      <c r="B10" s="4"/>
      <c r="C10" s="4"/>
      <c r="D10" s="4"/>
    </row>
    <row r="11" spans="1:4">
      <c r="B11" t="s">
        <v>30</v>
      </c>
    </row>
    <row r="12" spans="1:4">
      <c r="A12" s="3">
        <v>2010</v>
      </c>
      <c r="B12" s="12">
        <f t="shared" ref="B12:B14" si="0">0.475952381*A12^2-1937.6138095236*A12+1972141.58142839</f>
        <v>433.0387640541885</v>
      </c>
    </row>
    <row r="13" spans="1:4">
      <c r="A13" s="3">
        <v>2011</v>
      </c>
      <c r="B13" s="12">
        <f t="shared" si="0"/>
        <v>409.22947853151709</v>
      </c>
    </row>
    <row r="14" spans="1:4">
      <c r="A14" s="3">
        <v>2012</v>
      </c>
      <c r="B14" s="12">
        <f t="shared" si="0"/>
        <v>386.3720977709163</v>
      </c>
    </row>
    <row r="15" spans="1:4">
      <c r="A15" s="3">
        <v>2013</v>
      </c>
      <c r="B15" s="12">
        <f>0.475952381*A15^2-1937.6138095236*A15+1972141.58142839</f>
        <v>364.4666217721533</v>
      </c>
    </row>
    <row r="16" spans="1:4">
      <c r="A16" s="3">
        <v>2014</v>
      </c>
      <c r="B16" s="12">
        <f t="shared" ref="B16:B31" si="1">0.475952381*A16^2-1937.6138095236*A16+1972141.58142839</f>
        <v>343.51305053569376</v>
      </c>
    </row>
    <row r="17" spans="1:2">
      <c r="A17" s="3">
        <v>2015</v>
      </c>
      <c r="B17" s="12">
        <f t="shared" si="1"/>
        <v>323.51138406107202</v>
      </c>
    </row>
    <row r="18" spans="1:2">
      <c r="A18" s="3">
        <v>2016</v>
      </c>
      <c r="B18" s="12">
        <f t="shared" si="1"/>
        <v>304.46162234828807</v>
      </c>
    </row>
    <row r="19" spans="1:2">
      <c r="A19" s="3">
        <v>2017</v>
      </c>
      <c r="B19" s="12">
        <f t="shared" si="1"/>
        <v>286.36376539757475</v>
      </c>
    </row>
    <row r="20" spans="1:2">
      <c r="A20">
        <v>2018</v>
      </c>
      <c r="B20" s="10">
        <v>269.83</v>
      </c>
    </row>
    <row r="21" spans="1:2">
      <c r="A21" s="3">
        <v>2019</v>
      </c>
      <c r="B21" s="12">
        <f t="shared" si="1"/>
        <v>253.02376578282565</v>
      </c>
    </row>
    <row r="22" spans="1:2">
      <c r="A22">
        <v>2020</v>
      </c>
      <c r="B22" s="10">
        <v>236.56</v>
      </c>
    </row>
    <row r="23" spans="1:2">
      <c r="A23" s="3">
        <v>2021</v>
      </c>
      <c r="B23" s="12">
        <f t="shared" si="1"/>
        <v>223.49138521566056</v>
      </c>
    </row>
    <row r="24" spans="1:2">
      <c r="A24">
        <v>2022</v>
      </c>
      <c r="B24" s="10">
        <v>210.4</v>
      </c>
    </row>
    <row r="25" spans="1:2">
      <c r="A25" s="3">
        <v>2023</v>
      </c>
      <c r="B25" s="12">
        <f t="shared" si="1"/>
        <v>197.76662369631231</v>
      </c>
    </row>
    <row r="26" spans="1:2">
      <c r="A26">
        <v>2024</v>
      </c>
      <c r="B26" s="10">
        <v>186.83</v>
      </c>
    </row>
    <row r="27" spans="1:2">
      <c r="A27" s="3">
        <v>2025</v>
      </c>
      <c r="B27" s="12">
        <f t="shared" si="1"/>
        <v>175.84948122501373</v>
      </c>
    </row>
    <row r="28" spans="1:2">
      <c r="A28">
        <v>2026</v>
      </c>
      <c r="B28" s="10">
        <v>166.37</v>
      </c>
    </row>
    <row r="29" spans="1:2">
      <c r="A29" s="3">
        <v>2027</v>
      </c>
      <c r="B29" s="12">
        <f t="shared" si="1"/>
        <v>157.73995780176483</v>
      </c>
    </row>
    <row r="30" spans="1:2">
      <c r="A30">
        <v>2028</v>
      </c>
      <c r="B30" s="10">
        <v>149.96</v>
      </c>
    </row>
    <row r="31" spans="1:2">
      <c r="A31" s="3">
        <v>2029</v>
      </c>
      <c r="B31" s="12">
        <f t="shared" si="1"/>
        <v>143.4380534265656</v>
      </c>
    </row>
    <row r="32" spans="1:2">
      <c r="A32">
        <v>2030</v>
      </c>
      <c r="B32" s="10">
        <v>137.68</v>
      </c>
    </row>
    <row r="33" spans="1:6" s="15" customFormat="1">
      <c r="A33" s="15">
        <v>2031</v>
      </c>
      <c r="B33" s="12">
        <f>AVERAGE(B32,B34)</f>
        <v>135.565</v>
      </c>
      <c r="F33" s="16" t="s">
        <v>36</v>
      </c>
    </row>
    <row r="34" spans="1:6" s="15" customFormat="1">
      <c r="A34" s="3">
        <v>2032</v>
      </c>
      <c r="B34" s="10">
        <v>133.44999999999999</v>
      </c>
      <c r="F34" s="18" t="s">
        <v>37</v>
      </c>
    </row>
    <row r="35" spans="1:6" s="15" customFormat="1">
      <c r="A35" s="15">
        <v>2033</v>
      </c>
      <c r="B35" s="12">
        <f>AVERAGE(B34,B36)</f>
        <v>131.91999999999999</v>
      </c>
    </row>
    <row r="36" spans="1:6" s="15" customFormat="1">
      <c r="A36" s="3">
        <v>2034</v>
      </c>
      <c r="B36" s="10">
        <v>130.38999999999999</v>
      </c>
    </row>
    <row r="37" spans="1:6" s="15" customFormat="1">
      <c r="A37" s="15">
        <v>2035</v>
      </c>
      <c r="B37" s="12">
        <f>AVERAGE(B36,B38)</f>
        <v>129.16</v>
      </c>
    </row>
    <row r="38" spans="1:6" s="15" customFormat="1">
      <c r="A38" s="3">
        <v>2036</v>
      </c>
      <c r="B38" s="10">
        <v>127.93</v>
      </c>
    </row>
    <row r="39" spans="1:6" s="15" customFormat="1">
      <c r="A39" s="15">
        <v>2037</v>
      </c>
      <c r="B39" s="12">
        <f>AVERAGE(B38,B40)</f>
        <v>126.855</v>
      </c>
    </row>
    <row r="40" spans="1:6" s="15" customFormat="1">
      <c r="A40" s="15">
        <v>2038</v>
      </c>
      <c r="B40" s="10">
        <v>125.78</v>
      </c>
    </row>
    <row r="41" spans="1:6" s="15" customFormat="1">
      <c r="A41" s="3">
        <v>2039</v>
      </c>
      <c r="B41" s="12">
        <f>AVERAGE(B40,B42)</f>
        <v>124.77000000000001</v>
      </c>
    </row>
    <row r="42" spans="1:6" s="15" customFormat="1">
      <c r="A42" s="15">
        <v>2040</v>
      </c>
      <c r="B42" s="10">
        <v>123.76</v>
      </c>
    </row>
    <row r="43" spans="1:6" s="15" customFormat="1">
      <c r="A43" s="3">
        <v>2041</v>
      </c>
      <c r="B43" s="12">
        <f>AVERAGE(B42,B44)</f>
        <v>122.68</v>
      </c>
    </row>
    <row r="44" spans="1:6" s="15" customFormat="1">
      <c r="A44" s="15">
        <v>2042</v>
      </c>
      <c r="B44" s="10">
        <v>121.6</v>
      </c>
    </row>
    <row r="45" spans="1:6" s="15" customFormat="1">
      <c r="A45" s="3">
        <v>2043</v>
      </c>
      <c r="B45" s="12">
        <f>AVERAGE(B44,B46)</f>
        <v>120.55</v>
      </c>
    </row>
    <row r="46" spans="1:6" s="15" customFormat="1">
      <c r="A46" s="15">
        <v>2044</v>
      </c>
      <c r="B46" s="10">
        <v>119.5</v>
      </c>
    </row>
    <row r="47" spans="1:6" s="15" customFormat="1">
      <c r="A47" s="15">
        <v>2045</v>
      </c>
      <c r="B47" s="12">
        <f>AVERAGE(B46,B48)</f>
        <v>118.49000000000001</v>
      </c>
    </row>
    <row r="48" spans="1:6" s="15" customFormat="1">
      <c r="A48" s="3">
        <v>2046</v>
      </c>
      <c r="B48" s="10">
        <v>117.48</v>
      </c>
    </row>
    <row r="49" spans="1:10" s="15" customFormat="1">
      <c r="A49" s="15">
        <v>2047</v>
      </c>
      <c r="B49" s="12">
        <f>AVERAGE(B48,B50)</f>
        <v>116.495</v>
      </c>
    </row>
    <row r="50" spans="1:10" s="15" customFormat="1">
      <c r="A50" s="3">
        <v>2048</v>
      </c>
      <c r="B50" s="10">
        <v>115.51</v>
      </c>
    </row>
    <row r="51" spans="1:10" s="15" customFormat="1">
      <c r="A51" s="15">
        <v>2049</v>
      </c>
      <c r="B51" s="12">
        <f>AVERAGE(B50,B52)</f>
        <v>114.56</v>
      </c>
    </row>
    <row r="52" spans="1:10">
      <c r="A52" s="3">
        <v>2050</v>
      </c>
      <c r="B52" s="10">
        <v>113.61</v>
      </c>
    </row>
    <row r="53" spans="1:10">
      <c r="B53" s="2"/>
    </row>
    <row r="54" spans="1:10">
      <c r="A54" t="s">
        <v>22</v>
      </c>
      <c r="B54" s="2"/>
    </row>
    <row r="55" spans="1:10">
      <c r="A55" t="s">
        <v>23</v>
      </c>
      <c r="B55" s="2"/>
    </row>
    <row r="56" spans="1:10">
      <c r="A56" t="s">
        <v>24</v>
      </c>
      <c r="B56" s="2"/>
    </row>
    <row r="58" spans="1:10">
      <c r="A58" s="5" t="s">
        <v>4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>
      <c r="A59" t="s">
        <v>0</v>
      </c>
      <c r="B59" t="s">
        <v>1</v>
      </c>
      <c r="C59" t="s">
        <v>2</v>
      </c>
    </row>
    <row r="60" spans="1:10">
      <c r="A60">
        <v>603</v>
      </c>
      <c r="B60">
        <v>2010</v>
      </c>
      <c r="C60" s="14">
        <f>A60*About!$A$23</f>
        <v>636.16499999999996</v>
      </c>
    </row>
    <row r="61" spans="1:10">
      <c r="A61">
        <v>779</v>
      </c>
      <c r="B61">
        <v>2010</v>
      </c>
      <c r="C61" s="14">
        <f>A61*About!$A$23</f>
        <v>821.84499999999991</v>
      </c>
    </row>
    <row r="62" spans="1:10">
      <c r="A62">
        <v>711</v>
      </c>
      <c r="B62">
        <v>2010</v>
      </c>
      <c r="C62" s="14">
        <f>A62*About!$A$23</f>
        <v>750.1049999999999</v>
      </c>
    </row>
    <row r="63" spans="1:10">
      <c r="A63">
        <v>707</v>
      </c>
      <c r="B63">
        <v>2010</v>
      </c>
      <c r="C63" s="14">
        <f>A63*About!$A$23</f>
        <v>745.88499999999999</v>
      </c>
    </row>
    <row r="64" spans="1:10">
      <c r="A64">
        <v>637</v>
      </c>
      <c r="B64">
        <v>2010</v>
      </c>
      <c r="C64" s="14">
        <f>A64*About!$A$23</f>
        <v>672.03499999999997</v>
      </c>
    </row>
    <row r="65" spans="1:4">
      <c r="C65" s="17">
        <f>AVERAGE(C60:C64)</f>
        <v>725.20699999999999</v>
      </c>
      <c r="D65" s="1" t="s">
        <v>29</v>
      </c>
    </row>
    <row r="67" spans="1:4">
      <c r="A67" t="s">
        <v>25</v>
      </c>
    </row>
    <row r="68" spans="1:4">
      <c r="A68" t="s">
        <v>26</v>
      </c>
    </row>
    <row r="69" spans="1:4">
      <c r="A69" t="s">
        <v>27</v>
      </c>
    </row>
    <row r="70" spans="1:4">
      <c r="A70" t="s">
        <v>28</v>
      </c>
    </row>
    <row r="71" spans="1:4">
      <c r="A71" t="s">
        <v>41</v>
      </c>
    </row>
    <row r="73" spans="1:4">
      <c r="A73" s="5" t="s">
        <v>5</v>
      </c>
      <c r="B73" s="4"/>
      <c r="C73" s="4"/>
      <c r="D73" s="4"/>
    </row>
    <row r="74" spans="1:4">
      <c r="B74" t="s">
        <v>6</v>
      </c>
    </row>
    <row r="75" spans="1:4">
      <c r="A75" s="2"/>
      <c r="B75" t="s">
        <v>3</v>
      </c>
      <c r="C75" t="s">
        <v>0</v>
      </c>
    </row>
    <row r="76" spans="1:4">
      <c r="A76" s="8">
        <v>2010</v>
      </c>
      <c r="B76" s="19">
        <f>B12</f>
        <v>433.0387640541885</v>
      </c>
      <c r="C76" s="10">
        <f>C65</f>
        <v>725.20699999999999</v>
      </c>
    </row>
    <row r="77" spans="1:4">
      <c r="A77" s="8">
        <v>2011</v>
      </c>
      <c r="B77" s="19">
        <f t="shared" ref="B77:B116" si="2">B13</f>
        <v>409.22947853151709</v>
      </c>
      <c r="C77" s="11">
        <f>B77+(C$76-B$76)</f>
        <v>701.39771447732858</v>
      </c>
    </row>
    <row r="78" spans="1:4">
      <c r="A78" s="8">
        <v>2012</v>
      </c>
      <c r="B78" s="19">
        <f t="shared" si="2"/>
        <v>386.3720977709163</v>
      </c>
      <c r="C78" s="11">
        <f t="shared" ref="C78:C116" si="3">B78+(C$76-B$76)</f>
        <v>678.54033371672779</v>
      </c>
    </row>
    <row r="79" spans="1:4">
      <c r="A79" s="8">
        <v>2013</v>
      </c>
      <c r="B79" s="19">
        <f t="shared" si="2"/>
        <v>364.4666217721533</v>
      </c>
      <c r="C79" s="11">
        <f t="shared" si="3"/>
        <v>656.63485771796479</v>
      </c>
    </row>
    <row r="80" spans="1:4">
      <c r="A80" s="8">
        <v>2014</v>
      </c>
      <c r="B80" s="19">
        <f t="shared" si="2"/>
        <v>343.51305053569376</v>
      </c>
      <c r="C80" s="11">
        <f t="shared" si="3"/>
        <v>635.68128648150525</v>
      </c>
    </row>
    <row r="81" spans="1:3">
      <c r="A81" s="8">
        <v>2015</v>
      </c>
      <c r="B81" s="19">
        <f t="shared" si="2"/>
        <v>323.51138406107202</v>
      </c>
      <c r="C81" s="11">
        <f t="shared" si="3"/>
        <v>615.67962000688351</v>
      </c>
    </row>
    <row r="82" spans="1:3">
      <c r="A82" s="8">
        <v>2016</v>
      </c>
      <c r="B82" s="19">
        <f t="shared" si="2"/>
        <v>304.46162234828807</v>
      </c>
      <c r="C82" s="11">
        <f t="shared" si="3"/>
        <v>596.62985829409956</v>
      </c>
    </row>
    <row r="83" spans="1:3">
      <c r="A83" s="8">
        <v>2017</v>
      </c>
      <c r="B83" s="19">
        <f t="shared" si="2"/>
        <v>286.36376539757475</v>
      </c>
      <c r="C83" s="11">
        <f t="shared" si="3"/>
        <v>578.53200134338624</v>
      </c>
    </row>
    <row r="84" spans="1:3">
      <c r="A84" s="8">
        <v>2018</v>
      </c>
      <c r="B84" s="19">
        <f t="shared" si="2"/>
        <v>269.83</v>
      </c>
      <c r="C84" s="11">
        <f t="shared" si="3"/>
        <v>561.99823594581153</v>
      </c>
    </row>
    <row r="85" spans="1:3">
      <c r="A85" s="8">
        <v>2019</v>
      </c>
      <c r="B85" s="19">
        <f t="shared" si="2"/>
        <v>253.02376578282565</v>
      </c>
      <c r="C85" s="11">
        <f t="shared" si="3"/>
        <v>545.19200172863714</v>
      </c>
    </row>
    <row r="86" spans="1:3">
      <c r="A86" s="8">
        <v>2020</v>
      </c>
      <c r="B86" s="19">
        <f t="shared" si="2"/>
        <v>236.56</v>
      </c>
      <c r="C86" s="11">
        <f t="shared" si="3"/>
        <v>528.72823594581155</v>
      </c>
    </row>
    <row r="87" spans="1:3">
      <c r="A87" s="8">
        <v>2021</v>
      </c>
      <c r="B87" s="19">
        <f t="shared" si="2"/>
        <v>223.49138521566056</v>
      </c>
      <c r="C87" s="11">
        <f t="shared" si="3"/>
        <v>515.65962116147205</v>
      </c>
    </row>
    <row r="88" spans="1:3">
      <c r="A88" s="8">
        <v>2022</v>
      </c>
      <c r="B88" s="19">
        <f t="shared" si="2"/>
        <v>210.4</v>
      </c>
      <c r="C88" s="11">
        <f t="shared" si="3"/>
        <v>502.56823594581147</v>
      </c>
    </row>
    <row r="89" spans="1:3">
      <c r="A89" s="8">
        <v>2023</v>
      </c>
      <c r="B89" s="19">
        <f t="shared" si="2"/>
        <v>197.76662369631231</v>
      </c>
      <c r="C89" s="11">
        <f t="shared" si="3"/>
        <v>489.9348596421238</v>
      </c>
    </row>
    <row r="90" spans="1:3">
      <c r="A90" s="8">
        <v>2024</v>
      </c>
      <c r="B90" s="19">
        <f t="shared" si="2"/>
        <v>186.83</v>
      </c>
      <c r="C90" s="11">
        <f t="shared" si="3"/>
        <v>478.99823594581153</v>
      </c>
    </row>
    <row r="91" spans="1:3">
      <c r="A91" s="8">
        <v>2025</v>
      </c>
      <c r="B91" s="19">
        <f t="shared" si="2"/>
        <v>175.84948122501373</v>
      </c>
      <c r="C91" s="11">
        <f t="shared" si="3"/>
        <v>468.01771717082522</v>
      </c>
    </row>
    <row r="92" spans="1:3">
      <c r="A92" s="8">
        <v>2026</v>
      </c>
      <c r="B92" s="19">
        <f t="shared" si="2"/>
        <v>166.37</v>
      </c>
      <c r="C92" s="11">
        <f t="shared" si="3"/>
        <v>458.53823594581149</v>
      </c>
    </row>
    <row r="93" spans="1:3">
      <c r="A93" s="8">
        <v>2027</v>
      </c>
      <c r="B93" s="19">
        <f t="shared" si="2"/>
        <v>157.73995780176483</v>
      </c>
      <c r="C93" s="11">
        <f t="shared" si="3"/>
        <v>449.90819374757632</v>
      </c>
    </row>
    <row r="94" spans="1:3">
      <c r="A94" s="8">
        <v>2028</v>
      </c>
      <c r="B94" s="19">
        <f t="shared" si="2"/>
        <v>149.96</v>
      </c>
      <c r="C94" s="11">
        <f t="shared" si="3"/>
        <v>442.12823594581153</v>
      </c>
    </row>
    <row r="95" spans="1:3">
      <c r="A95" s="8">
        <v>2029</v>
      </c>
      <c r="B95" s="19">
        <f t="shared" si="2"/>
        <v>143.4380534265656</v>
      </c>
      <c r="C95" s="11">
        <f t="shared" si="3"/>
        <v>435.60628937237709</v>
      </c>
    </row>
    <row r="96" spans="1:3">
      <c r="A96" s="8">
        <v>2030</v>
      </c>
      <c r="B96" s="19">
        <f t="shared" si="2"/>
        <v>137.68</v>
      </c>
      <c r="C96" s="11">
        <f t="shared" si="3"/>
        <v>429.8482359458115</v>
      </c>
    </row>
    <row r="97" spans="1:3">
      <c r="A97" s="8">
        <v>2031</v>
      </c>
      <c r="B97" s="19">
        <f>B33</f>
        <v>135.565</v>
      </c>
      <c r="C97" s="11">
        <f t="shared" si="3"/>
        <v>427.73323594581149</v>
      </c>
    </row>
    <row r="98" spans="1:3">
      <c r="A98" s="8">
        <v>2032</v>
      </c>
      <c r="B98" s="19">
        <f t="shared" si="2"/>
        <v>133.44999999999999</v>
      </c>
      <c r="C98" s="11">
        <f t="shared" si="3"/>
        <v>425.61823594581148</v>
      </c>
    </row>
    <row r="99" spans="1:3">
      <c r="A99" s="8">
        <v>2033</v>
      </c>
      <c r="B99" s="19">
        <f t="shared" si="2"/>
        <v>131.91999999999999</v>
      </c>
      <c r="C99" s="11">
        <f t="shared" si="3"/>
        <v>424.08823594581145</v>
      </c>
    </row>
    <row r="100" spans="1:3">
      <c r="A100" s="8">
        <v>2034</v>
      </c>
      <c r="B100" s="19">
        <f t="shared" si="2"/>
        <v>130.38999999999999</v>
      </c>
      <c r="C100" s="11">
        <f t="shared" si="3"/>
        <v>422.55823594581148</v>
      </c>
    </row>
    <row r="101" spans="1:3">
      <c r="A101" s="8">
        <v>2035</v>
      </c>
      <c r="B101" s="19">
        <f t="shared" si="2"/>
        <v>129.16</v>
      </c>
      <c r="C101" s="11">
        <f t="shared" si="3"/>
        <v>421.32823594581146</v>
      </c>
    </row>
    <row r="102" spans="1:3">
      <c r="A102" s="8">
        <v>2036</v>
      </c>
      <c r="B102" s="19">
        <f t="shared" si="2"/>
        <v>127.93</v>
      </c>
      <c r="C102" s="11">
        <f t="shared" si="3"/>
        <v>420.0982359458115</v>
      </c>
    </row>
    <row r="103" spans="1:3">
      <c r="A103" s="8">
        <v>2037</v>
      </c>
      <c r="B103" s="19">
        <f t="shared" si="2"/>
        <v>126.855</v>
      </c>
      <c r="C103" s="11">
        <f t="shared" si="3"/>
        <v>419.02323594581151</v>
      </c>
    </row>
    <row r="104" spans="1:3">
      <c r="A104" s="8">
        <v>2038</v>
      </c>
      <c r="B104" s="19">
        <f t="shared" si="2"/>
        <v>125.78</v>
      </c>
      <c r="C104" s="11">
        <f t="shared" si="3"/>
        <v>417.94823594581146</v>
      </c>
    </row>
    <row r="105" spans="1:3">
      <c r="A105" s="8">
        <v>2039</v>
      </c>
      <c r="B105" s="19">
        <f t="shared" si="2"/>
        <v>124.77000000000001</v>
      </c>
      <c r="C105" s="11">
        <f t="shared" si="3"/>
        <v>416.93823594581147</v>
      </c>
    </row>
    <row r="106" spans="1:3">
      <c r="A106" s="8">
        <v>2040</v>
      </c>
      <c r="B106" s="19">
        <f t="shared" si="2"/>
        <v>123.76</v>
      </c>
      <c r="C106" s="11">
        <f t="shared" si="3"/>
        <v>415.92823594581148</v>
      </c>
    </row>
    <row r="107" spans="1:3">
      <c r="A107" s="8">
        <v>2041</v>
      </c>
      <c r="B107" s="19">
        <f t="shared" si="2"/>
        <v>122.68</v>
      </c>
      <c r="C107" s="11">
        <f t="shared" si="3"/>
        <v>414.8482359458115</v>
      </c>
    </row>
    <row r="108" spans="1:3">
      <c r="A108" s="8">
        <v>2042</v>
      </c>
      <c r="B108" s="19">
        <f t="shared" si="2"/>
        <v>121.6</v>
      </c>
      <c r="C108" s="11">
        <f t="shared" si="3"/>
        <v>413.76823594581151</v>
      </c>
    </row>
    <row r="109" spans="1:3">
      <c r="A109" s="8">
        <v>2043</v>
      </c>
      <c r="B109" s="19">
        <f t="shared" si="2"/>
        <v>120.55</v>
      </c>
      <c r="C109" s="11">
        <f t="shared" si="3"/>
        <v>412.7182359458115</v>
      </c>
    </row>
    <row r="110" spans="1:3">
      <c r="A110" s="8">
        <v>2044</v>
      </c>
      <c r="B110" s="19">
        <f t="shared" si="2"/>
        <v>119.5</v>
      </c>
      <c r="C110" s="11">
        <f t="shared" si="3"/>
        <v>411.66823594581149</v>
      </c>
    </row>
    <row r="111" spans="1:3">
      <c r="A111" s="8">
        <v>2045</v>
      </c>
      <c r="B111" s="19">
        <f t="shared" si="2"/>
        <v>118.49000000000001</v>
      </c>
      <c r="C111" s="11">
        <f t="shared" si="3"/>
        <v>410.6582359458115</v>
      </c>
    </row>
    <row r="112" spans="1:3">
      <c r="A112" s="8">
        <v>2046</v>
      </c>
      <c r="B112" s="19">
        <f t="shared" si="2"/>
        <v>117.48</v>
      </c>
      <c r="C112" s="11">
        <f t="shared" si="3"/>
        <v>409.64823594581151</v>
      </c>
    </row>
    <row r="113" spans="1:3">
      <c r="A113" s="8">
        <v>2047</v>
      </c>
      <c r="B113" s="19">
        <f t="shared" si="2"/>
        <v>116.495</v>
      </c>
      <c r="C113" s="11">
        <f t="shared" si="3"/>
        <v>408.66323594581149</v>
      </c>
    </row>
    <row r="114" spans="1:3">
      <c r="A114" s="8">
        <v>2048</v>
      </c>
      <c r="B114" s="19">
        <f t="shared" si="2"/>
        <v>115.51</v>
      </c>
      <c r="C114" s="11">
        <f t="shared" si="3"/>
        <v>407.67823594581148</v>
      </c>
    </row>
    <row r="115" spans="1:3">
      <c r="A115" s="8">
        <v>2049</v>
      </c>
      <c r="B115" s="19">
        <f t="shared" si="2"/>
        <v>114.56</v>
      </c>
      <c r="C115" s="11">
        <f t="shared" si="3"/>
        <v>406.72823594581149</v>
      </c>
    </row>
    <row r="116" spans="1:3">
      <c r="A116" s="8">
        <v>2050</v>
      </c>
      <c r="B116" s="19">
        <f t="shared" si="2"/>
        <v>113.61</v>
      </c>
      <c r="C116" s="11">
        <f t="shared" si="3"/>
        <v>405.7782359458115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19" workbookViewId="0">
      <selection activeCell="F15" sqref="F15:F51"/>
    </sheetView>
  </sheetViews>
  <sheetFormatPr defaultColWidth="9.1328125" defaultRowHeight="14.25"/>
  <cols>
    <col min="1" max="1" width="13.796875" style="15" customWidth="1"/>
    <col min="2" max="3" width="21.46484375" style="15" customWidth="1"/>
    <col min="4" max="4" width="21.1328125" style="15" bestFit="1" customWidth="1"/>
    <col min="5" max="6" width="17.46484375" style="15" customWidth="1"/>
    <col min="7" max="16384" width="9.1328125" style="15"/>
  </cols>
  <sheetData>
    <row r="1" spans="1:7">
      <c r="A1" s="33" t="s">
        <v>56</v>
      </c>
    </row>
    <row r="3" spans="1:7">
      <c r="A3" s="23" t="s">
        <v>18</v>
      </c>
      <c r="B3" s="23"/>
      <c r="C3" s="23"/>
      <c r="D3" s="23"/>
      <c r="E3" s="23"/>
      <c r="F3" s="23"/>
      <c r="G3" s="23"/>
    </row>
    <row r="4" spans="1:7">
      <c r="A4" s="23" t="s">
        <v>19</v>
      </c>
      <c r="B4" s="23"/>
      <c r="C4" s="23"/>
      <c r="D4" s="23"/>
      <c r="E4" s="23"/>
      <c r="F4" s="23"/>
      <c r="G4" s="23"/>
    </row>
    <row r="5" spans="1:7">
      <c r="A5" s="23" t="s">
        <v>20</v>
      </c>
      <c r="B5" s="23"/>
      <c r="C5" s="23"/>
      <c r="D5" s="23"/>
      <c r="E5" s="23"/>
      <c r="F5" s="23"/>
      <c r="G5" s="23"/>
    </row>
    <row r="6" spans="1:7">
      <c r="A6" s="23" t="s">
        <v>21</v>
      </c>
      <c r="B6" s="23"/>
      <c r="C6" s="23"/>
      <c r="D6" s="23"/>
      <c r="E6" s="23"/>
      <c r="F6" s="23"/>
      <c r="G6" s="23"/>
    </row>
    <row r="7" spans="1:7">
      <c r="A7" s="23" t="s">
        <v>42</v>
      </c>
      <c r="B7" s="23"/>
      <c r="C7" s="23"/>
      <c r="D7" s="23"/>
      <c r="E7" s="23"/>
      <c r="F7" s="23"/>
      <c r="G7" s="23"/>
    </row>
    <row r="8" spans="1:7">
      <c r="A8" s="23" t="s">
        <v>38</v>
      </c>
      <c r="B8" s="23"/>
      <c r="C8" s="23"/>
      <c r="D8" s="23"/>
      <c r="E8" s="23"/>
      <c r="F8" s="23"/>
      <c r="G8" s="23"/>
    </row>
    <row r="9" spans="1:7">
      <c r="A9" s="23" t="s">
        <v>39</v>
      </c>
      <c r="B9" s="23"/>
      <c r="C9" s="23"/>
      <c r="D9" s="23"/>
      <c r="E9" s="23"/>
      <c r="F9" s="23"/>
      <c r="G9" s="23"/>
    </row>
    <row r="10" spans="1:7">
      <c r="A10" s="23" t="s">
        <v>40</v>
      </c>
      <c r="B10" s="23"/>
      <c r="C10" s="23"/>
      <c r="D10" s="23"/>
      <c r="E10" s="23"/>
      <c r="F10" s="23"/>
      <c r="G10" s="23"/>
    </row>
    <row r="11" spans="1:7">
      <c r="A11" s="23"/>
      <c r="B11" s="23"/>
      <c r="C11" s="23"/>
      <c r="D11" s="23"/>
      <c r="E11" s="23"/>
      <c r="F11" s="23"/>
      <c r="G11" s="23"/>
    </row>
    <row r="12" spans="1:7">
      <c r="A12" s="24" t="s">
        <v>5</v>
      </c>
      <c r="B12" s="25"/>
      <c r="C12" s="25"/>
      <c r="D12" s="25"/>
      <c r="E12" s="23"/>
      <c r="F12" s="23"/>
      <c r="G12" s="23"/>
    </row>
    <row r="13" spans="1:7">
      <c r="A13" s="23"/>
      <c r="B13" s="44" t="s">
        <v>30</v>
      </c>
      <c r="C13" s="44"/>
      <c r="D13" s="44"/>
      <c r="E13" s="44"/>
      <c r="F13" s="44" t="s">
        <v>49</v>
      </c>
      <c r="G13" s="44"/>
    </row>
    <row r="14" spans="1:7">
      <c r="A14" s="23"/>
      <c r="B14" s="23" t="s">
        <v>47</v>
      </c>
      <c r="C14" s="23" t="s">
        <v>51</v>
      </c>
      <c r="D14" s="23" t="s">
        <v>52</v>
      </c>
      <c r="E14" s="23" t="s">
        <v>48</v>
      </c>
      <c r="F14" s="23" t="s">
        <v>47</v>
      </c>
      <c r="G14" s="23" t="s">
        <v>50</v>
      </c>
    </row>
    <row r="15" spans="1:7">
      <c r="A15" s="26">
        <v>2014</v>
      </c>
      <c r="B15" s="27">
        <f>Calculations!B80</f>
        <v>343.51305053569376</v>
      </c>
      <c r="C15" s="23"/>
      <c r="D15" s="23"/>
      <c r="E15" s="28">
        <f t="shared" ref="E15:E17" si="0">(E16-E20)/5+E16</f>
        <v>0.77362645687536313</v>
      </c>
      <c r="F15" s="27">
        <f>Calculations!C80</f>
        <v>635.68128648150525</v>
      </c>
      <c r="G15" s="29">
        <f t="shared" ref="G15:G18" si="1">F15*E15</f>
        <v>491.77986136265957</v>
      </c>
    </row>
    <row r="16" spans="1:7">
      <c r="A16" s="30">
        <v>2015</v>
      </c>
      <c r="B16" s="27">
        <f>Calculations!B81</f>
        <v>323.51138406107202</v>
      </c>
      <c r="C16" s="23"/>
      <c r="D16" s="23"/>
      <c r="E16" s="28">
        <f t="shared" si="0"/>
        <v>0.75373759430520626</v>
      </c>
      <c r="F16" s="27">
        <f>Calculations!C81</f>
        <v>615.67962000688351</v>
      </c>
      <c r="G16" s="29">
        <f t="shared" si="1"/>
        <v>464.06087564673192</v>
      </c>
    </row>
    <row r="17" spans="1:8">
      <c r="A17" s="26">
        <v>2016</v>
      </c>
      <c r="B17" s="27">
        <f>Calculations!B82</f>
        <v>304.46162234828807</v>
      </c>
      <c r="C17" s="23"/>
      <c r="D17" s="23"/>
      <c r="E17" s="28">
        <f t="shared" si="0"/>
        <v>0.73053582357132651</v>
      </c>
      <c r="F17" s="27">
        <f>Calculations!C82</f>
        <v>596.62985829409956</v>
      </c>
      <c r="G17" s="29">
        <f t="shared" si="1"/>
        <v>435.85948489612383</v>
      </c>
    </row>
    <row r="18" spans="1:8">
      <c r="A18" s="30">
        <v>2017</v>
      </c>
      <c r="B18" s="27">
        <f>Calculations!B83</f>
        <v>286.36376539757475</v>
      </c>
      <c r="C18" s="23"/>
      <c r="D18" s="23"/>
      <c r="E18" s="28">
        <f>(E19-E23)/5+E19</f>
        <v>0.70891085643770357</v>
      </c>
      <c r="F18" s="27">
        <f>Calculations!C83</f>
        <v>578.53200134338624</v>
      </c>
      <c r="G18" s="29">
        <f t="shared" si="1"/>
        <v>410.1276165489586</v>
      </c>
    </row>
    <row r="19" spans="1:8">
      <c r="A19" s="26">
        <v>2018</v>
      </c>
      <c r="B19" s="27">
        <f>Calculations!B84</f>
        <v>269.83</v>
      </c>
      <c r="C19" s="31">
        <f>'Texas Notes'!B9</f>
        <v>204.1</v>
      </c>
      <c r="D19" s="27">
        <f>C19*0.91</f>
        <v>185.73099999999999</v>
      </c>
      <c r="E19" s="28">
        <f>D19/B19</f>
        <v>0.68832598302634995</v>
      </c>
      <c r="F19" s="27">
        <f>Calculations!C84</f>
        <v>561.99823594581153</v>
      </c>
      <c r="G19" s="29">
        <f>F19*E19</f>
        <v>386.83798821647531</v>
      </c>
    </row>
    <row r="20" spans="1:8">
      <c r="A20" s="30">
        <v>2019</v>
      </c>
      <c r="B20" s="27">
        <f>Calculations!B85</f>
        <v>253.02376578282565</v>
      </c>
      <c r="C20" s="32">
        <f>AVERAGE(C19,C21)</f>
        <v>181.92500000000001</v>
      </c>
      <c r="D20" s="27">
        <f t="shared" ref="D20:D51" si="2">C20*0.91</f>
        <v>165.55175000000003</v>
      </c>
      <c r="E20" s="28">
        <f t="shared" ref="E20:E51" si="3">D20/B20</f>
        <v>0.65429328145442178</v>
      </c>
      <c r="F20" s="27">
        <f>Calculations!C85</f>
        <v>545.19200172863714</v>
      </c>
      <c r="G20" s="29">
        <f t="shared" ref="G20:G51" si="4">F20*E20</f>
        <v>356.71546383373476</v>
      </c>
    </row>
    <row r="21" spans="1:8">
      <c r="A21" s="26">
        <v>2020</v>
      </c>
      <c r="B21" s="27">
        <f>Calculations!B86</f>
        <v>236.56</v>
      </c>
      <c r="C21" s="31">
        <f>'Texas Notes'!B10</f>
        <v>159.75</v>
      </c>
      <c r="D21" s="27">
        <f t="shared" si="2"/>
        <v>145.3725</v>
      </c>
      <c r="E21" s="28">
        <f t="shared" si="3"/>
        <v>0.61452696990192768</v>
      </c>
      <c r="F21" s="27">
        <f>Calculations!C86</f>
        <v>528.72823594581155</v>
      </c>
      <c r="G21" s="29">
        <f t="shared" si="4"/>
        <v>324.91776073737105</v>
      </c>
    </row>
    <row r="22" spans="1:8">
      <c r="A22" s="30">
        <v>2021</v>
      </c>
      <c r="B22" s="27">
        <f>Calculations!B87</f>
        <v>223.49138521566056</v>
      </c>
      <c r="C22" s="32">
        <f>C21*0.8+C26*0.2</f>
        <v>147.55000000000001</v>
      </c>
      <c r="D22" s="27">
        <f t="shared" si="2"/>
        <v>134.27050000000003</v>
      </c>
      <c r="E22" s="28">
        <f t="shared" si="3"/>
        <v>0.60078602076958887</v>
      </c>
      <c r="F22" s="27">
        <f>Calculations!C87</f>
        <v>515.65962116147205</v>
      </c>
      <c r="G22" s="29">
        <f t="shared" si="4"/>
        <v>309.80109186915445</v>
      </c>
    </row>
    <row r="23" spans="1:8">
      <c r="A23" s="26">
        <v>2022</v>
      </c>
      <c r="B23" s="27">
        <f>Calculations!B88</f>
        <v>210.4</v>
      </c>
      <c r="C23" s="32">
        <f>C21*0.6+C26*0.4</f>
        <v>135.35</v>
      </c>
      <c r="D23" s="27">
        <f t="shared" si="2"/>
        <v>123.16849999999999</v>
      </c>
      <c r="E23" s="28">
        <f t="shared" si="3"/>
        <v>0.58540161596958173</v>
      </c>
      <c r="F23" s="27">
        <f>Calculations!C88</f>
        <v>502.56823594581147</v>
      </c>
      <c r="G23" s="29">
        <f t="shared" si="4"/>
        <v>294.20425745766005</v>
      </c>
    </row>
    <row r="24" spans="1:8">
      <c r="A24" s="30">
        <v>2023</v>
      </c>
      <c r="B24" s="27">
        <f>Calculations!B89</f>
        <v>197.76662369631231</v>
      </c>
      <c r="C24" s="32">
        <f>C21*0.4+C26*0.6</f>
        <v>123.15</v>
      </c>
      <c r="D24" s="27">
        <f t="shared" si="2"/>
        <v>112.0665</v>
      </c>
      <c r="E24" s="28">
        <f t="shared" si="3"/>
        <v>0.56666032875237715</v>
      </c>
      <c r="F24" s="27">
        <f>Calculations!C89</f>
        <v>489.9348596421238</v>
      </c>
      <c r="G24" s="29">
        <f t="shared" si="4"/>
        <v>277.62664863205561</v>
      </c>
    </row>
    <row r="25" spans="1:8">
      <c r="A25" s="26">
        <v>2024</v>
      </c>
      <c r="B25" s="27">
        <f>Calculations!B90</f>
        <v>186.83</v>
      </c>
      <c r="C25" s="32">
        <f>C21*0.2+C26*0.8</f>
        <v>110.95</v>
      </c>
      <c r="D25" s="27">
        <f t="shared" si="2"/>
        <v>100.9645</v>
      </c>
      <c r="E25" s="28">
        <f t="shared" si="3"/>
        <v>0.5404083926564256</v>
      </c>
      <c r="F25" s="27">
        <f>Calculations!C90</f>
        <v>478.99823594581153</v>
      </c>
      <c r="G25" s="29">
        <f t="shared" si="4"/>
        <v>258.85466677273934</v>
      </c>
    </row>
    <row r="26" spans="1:8">
      <c r="A26" s="30">
        <v>2025</v>
      </c>
      <c r="B26" s="27">
        <f>Calculations!B91</f>
        <v>175.84948122501373</v>
      </c>
      <c r="C26" s="31">
        <f>'Texas Notes'!B11</f>
        <v>98.75</v>
      </c>
      <c r="D26" s="27">
        <f t="shared" si="2"/>
        <v>89.862499999999997</v>
      </c>
      <c r="E26" s="28">
        <f t="shared" si="3"/>
        <v>0.51101942055213467</v>
      </c>
      <c r="F26" s="27">
        <f>Calculations!C91</f>
        <v>468.01771717082522</v>
      </c>
      <c r="G26" s="29">
        <f t="shared" si="4"/>
        <v>239.16614263676794</v>
      </c>
    </row>
    <row r="27" spans="1:8">
      <c r="A27" s="26">
        <v>2026</v>
      </c>
      <c r="B27" s="27">
        <f>Calculations!B92</f>
        <v>166.37</v>
      </c>
      <c r="C27" s="32">
        <f>C26*0.8+C31*0.2</f>
        <v>92.36</v>
      </c>
      <c r="D27" s="27">
        <f t="shared" si="2"/>
        <v>84.047600000000003</v>
      </c>
      <c r="E27" s="28">
        <f t="shared" si="3"/>
        <v>0.50518482899561223</v>
      </c>
      <c r="F27" s="27">
        <f>Calculations!C92</f>
        <v>458.53823594581149</v>
      </c>
      <c r="G27" s="29">
        <f t="shared" si="4"/>
        <v>231.64656031423448</v>
      </c>
    </row>
    <row r="28" spans="1:8">
      <c r="A28" s="30">
        <v>2027</v>
      </c>
      <c r="B28" s="27">
        <f>Calculations!B93</f>
        <v>157.73995780176483</v>
      </c>
      <c r="C28" s="32">
        <f>C26*0.6+C31*0.4</f>
        <v>85.97</v>
      </c>
      <c r="D28" s="27">
        <f t="shared" si="2"/>
        <v>78.232700000000008</v>
      </c>
      <c r="E28" s="28">
        <f t="shared" si="3"/>
        <v>0.49595993995583992</v>
      </c>
      <c r="F28" s="27">
        <f>Calculations!C93</f>
        <v>449.90819374757632</v>
      </c>
      <c r="G28" s="29">
        <f t="shared" si="4"/>
        <v>223.13644075668836</v>
      </c>
    </row>
    <row r="29" spans="1:8">
      <c r="A29" s="26">
        <v>2028</v>
      </c>
      <c r="B29" s="27">
        <f>Calculations!B94</f>
        <v>149.96</v>
      </c>
      <c r="C29" s="32">
        <f>C26*0.4+C31*0.6</f>
        <v>79.58</v>
      </c>
      <c r="D29" s="27">
        <f t="shared" si="2"/>
        <v>72.4178</v>
      </c>
      <c r="E29" s="28">
        <f t="shared" si="3"/>
        <v>0.48291411042944782</v>
      </c>
      <c r="F29" s="27">
        <f>Calculations!C94</f>
        <v>442.12823594581153</v>
      </c>
      <c r="G29" s="29">
        <f t="shared" si="4"/>
        <v>213.50996375751259</v>
      </c>
    </row>
    <row r="30" spans="1:8">
      <c r="A30" s="30">
        <v>2029</v>
      </c>
      <c r="B30" s="27">
        <f>Calculations!B95</f>
        <v>143.4380534265656</v>
      </c>
      <c r="C30" s="32">
        <f>C26*0.2+C31*0.8</f>
        <v>73.19</v>
      </c>
      <c r="D30" s="27">
        <f t="shared" si="2"/>
        <v>66.602900000000005</v>
      </c>
      <c r="E30" s="28">
        <f t="shared" si="3"/>
        <v>0.46433215181700688</v>
      </c>
      <c r="F30" s="27">
        <f>Calculations!C95</f>
        <v>435.60628937237709</v>
      </c>
      <c r="G30" s="29">
        <f t="shared" si="4"/>
        <v>202.26600568929763</v>
      </c>
    </row>
    <row r="31" spans="1:8">
      <c r="A31" s="26">
        <v>2030</v>
      </c>
      <c r="B31" s="27">
        <f>Calculations!B96</f>
        <v>137.68</v>
      </c>
      <c r="C31" s="31">
        <f>'Texas Notes'!B12</f>
        <v>66.8</v>
      </c>
      <c r="D31" s="27">
        <f t="shared" si="2"/>
        <v>60.787999999999997</v>
      </c>
      <c r="E31" s="28">
        <f t="shared" si="3"/>
        <v>0.44151656013945378</v>
      </c>
      <c r="F31" s="27">
        <f>Calculations!C96</f>
        <v>429.8482359458115</v>
      </c>
      <c r="G31" s="29">
        <f t="shared" si="4"/>
        <v>189.785114516807</v>
      </c>
    </row>
    <row r="32" spans="1:8">
      <c r="A32" s="26">
        <v>2031</v>
      </c>
      <c r="B32" s="27">
        <f>Calculations!B97</f>
        <v>135.565</v>
      </c>
      <c r="C32" s="32">
        <f>C31*0.8+C36*0.2</f>
        <v>65.494</v>
      </c>
      <c r="D32" s="27">
        <f t="shared" si="2"/>
        <v>59.599540000000005</v>
      </c>
      <c r="E32" s="28">
        <f t="shared" si="3"/>
        <v>0.43963810718105711</v>
      </c>
      <c r="F32" s="27">
        <f>Calculations!C97</f>
        <v>427.73323594581149</v>
      </c>
      <c r="G32" s="29">
        <f t="shared" si="4"/>
        <v>188.04783022964506</v>
      </c>
      <c r="H32" s="16"/>
    </row>
    <row r="33" spans="1:8">
      <c r="A33" s="30">
        <v>2032</v>
      </c>
      <c r="B33" s="27">
        <f>Calculations!B98</f>
        <v>133.44999999999999</v>
      </c>
      <c r="C33" s="32">
        <f>C31*0.6+C36*0.4</f>
        <v>64.188000000000002</v>
      </c>
      <c r="D33" s="27">
        <f t="shared" si="2"/>
        <v>58.411080000000005</v>
      </c>
      <c r="E33" s="28">
        <f t="shared" si="3"/>
        <v>0.43770011240164863</v>
      </c>
      <c r="F33" s="27">
        <f>Calculations!C98</f>
        <v>425.61823594581148</v>
      </c>
      <c r="G33" s="29">
        <f t="shared" si="4"/>
        <v>186.2931497136731</v>
      </c>
      <c r="H33" s="18"/>
    </row>
    <row r="34" spans="1:8">
      <c r="A34" s="26">
        <v>2033</v>
      </c>
      <c r="B34" s="27">
        <f>Calculations!B99</f>
        <v>131.91999999999999</v>
      </c>
      <c r="C34" s="32">
        <f>C31*0.4+C36*0.6</f>
        <v>62.881999999999998</v>
      </c>
      <c r="D34" s="27">
        <f t="shared" si="2"/>
        <v>57.222619999999999</v>
      </c>
      <c r="E34" s="28">
        <f t="shared" si="3"/>
        <v>0.43376758641600976</v>
      </c>
      <c r="F34" s="27">
        <f>Calculations!C99</f>
        <v>424.08823594581145</v>
      </c>
      <c r="G34" s="29">
        <f t="shared" si="4"/>
        <v>183.9557305336379</v>
      </c>
    </row>
    <row r="35" spans="1:8">
      <c r="A35" s="30">
        <v>2034</v>
      </c>
      <c r="B35" s="27">
        <f>Calculations!B100</f>
        <v>130.38999999999999</v>
      </c>
      <c r="C35" s="32">
        <f>C31*0.2+C36*0.8</f>
        <v>61.576000000000008</v>
      </c>
      <c r="D35" s="27">
        <f t="shared" si="2"/>
        <v>56.034160000000007</v>
      </c>
      <c r="E35" s="28">
        <f t="shared" si="3"/>
        <v>0.42974277168494529</v>
      </c>
      <c r="F35" s="27">
        <f>Calculations!C100</f>
        <v>422.55823594581148</v>
      </c>
      <c r="G35" s="29">
        <f t="shared" si="4"/>
        <v>181.59134751365411</v>
      </c>
    </row>
    <row r="36" spans="1:8">
      <c r="A36" s="26">
        <v>2035</v>
      </c>
      <c r="B36" s="27">
        <f>Calculations!B101</f>
        <v>129.16</v>
      </c>
      <c r="C36" s="31">
        <f>'Texas Notes'!B13</f>
        <v>60.27</v>
      </c>
      <c r="D36" s="27">
        <f t="shared" si="2"/>
        <v>54.845700000000008</v>
      </c>
      <c r="E36" s="28">
        <f t="shared" si="3"/>
        <v>0.42463378755032527</v>
      </c>
      <c r="F36" s="27">
        <f>Calculations!C101</f>
        <v>421.32823594581146</v>
      </c>
      <c r="G36" s="29">
        <f t="shared" si="4"/>
        <v>178.91020463156701</v>
      </c>
    </row>
    <row r="37" spans="1:8">
      <c r="A37" s="30">
        <v>2036</v>
      </c>
      <c r="B37" s="27">
        <f>Calculations!B102</f>
        <v>127.93</v>
      </c>
      <c r="C37" s="32">
        <f>C36*0.8+C41*0.2</f>
        <v>58.96200000000001</v>
      </c>
      <c r="D37" s="27">
        <f t="shared" si="2"/>
        <v>53.655420000000014</v>
      </c>
      <c r="E37" s="28">
        <f t="shared" si="3"/>
        <v>0.41941233487063245</v>
      </c>
      <c r="F37" s="27">
        <f>Calculations!C102</f>
        <v>420.0982359458115</v>
      </c>
      <c r="G37" s="29">
        <f t="shared" si="4"/>
        <v>176.19438201306664</v>
      </c>
    </row>
    <row r="38" spans="1:8">
      <c r="A38" s="26">
        <v>2037</v>
      </c>
      <c r="B38" s="27">
        <f>Calculations!B103</f>
        <v>126.855</v>
      </c>
      <c r="C38" s="32">
        <f>C36*0.6+C41*0.4</f>
        <v>57.653999999999996</v>
      </c>
      <c r="D38" s="27">
        <f t="shared" si="2"/>
        <v>52.465139999999998</v>
      </c>
      <c r="E38" s="28">
        <f t="shared" si="3"/>
        <v>0.41358354026250438</v>
      </c>
      <c r="F38" s="27">
        <f>Calculations!C103</f>
        <v>419.02323594581151</v>
      </c>
      <c r="G38" s="29">
        <f t="shared" si="4"/>
        <v>173.30111337471939</v>
      </c>
    </row>
    <row r="39" spans="1:8">
      <c r="A39" s="26">
        <v>2038</v>
      </c>
      <c r="B39" s="27">
        <f>Calculations!B104</f>
        <v>125.78</v>
      </c>
      <c r="C39" s="32">
        <f>C36*0.4+C41*0.6</f>
        <v>56.346000000000004</v>
      </c>
      <c r="D39" s="27">
        <f t="shared" si="2"/>
        <v>51.274860000000004</v>
      </c>
      <c r="E39" s="28">
        <f t="shared" si="3"/>
        <v>0.40765511210049293</v>
      </c>
      <c r="F39" s="27">
        <f>Calculations!C104</f>
        <v>417.94823594581146</v>
      </c>
      <c r="G39" s="29">
        <f t="shared" si="4"/>
        <v>170.37873497669304</v>
      </c>
    </row>
    <row r="40" spans="1:8">
      <c r="A40" s="30">
        <v>2039</v>
      </c>
      <c r="B40" s="27">
        <f>Calculations!B105</f>
        <v>124.77000000000001</v>
      </c>
      <c r="C40" s="32">
        <f>C36*0.2+C41*0.8</f>
        <v>55.038000000000004</v>
      </c>
      <c r="D40" s="27">
        <f t="shared" si="2"/>
        <v>50.084580000000003</v>
      </c>
      <c r="E40" s="28">
        <f t="shared" si="3"/>
        <v>0.40141524404905021</v>
      </c>
      <c r="F40" s="27">
        <f>Calculations!C105</f>
        <v>416.93823594581147</v>
      </c>
      <c r="G40" s="29">
        <f t="shared" si="4"/>
        <v>167.36536373556839</v>
      </c>
    </row>
    <row r="41" spans="1:8">
      <c r="A41" s="26">
        <v>2040</v>
      </c>
      <c r="B41" s="27">
        <f>Calculations!B106</f>
        <v>123.76</v>
      </c>
      <c r="C41" s="31">
        <f>'Texas Notes'!B14</f>
        <v>53.73</v>
      </c>
      <c r="D41" s="27">
        <f t="shared" si="2"/>
        <v>48.894300000000001</v>
      </c>
      <c r="E41" s="28">
        <f t="shared" si="3"/>
        <v>0.39507352941176471</v>
      </c>
      <c r="F41" s="27">
        <f>Calculations!C106</f>
        <v>415.92823594581148</v>
      </c>
      <c r="G41" s="29">
        <f t="shared" si="4"/>
        <v>164.32223615712095</v>
      </c>
    </row>
    <row r="42" spans="1:8">
      <c r="A42" s="30">
        <v>2041</v>
      </c>
      <c r="B42" s="27">
        <f>Calculations!B107</f>
        <v>122.68</v>
      </c>
      <c r="C42" s="32">
        <f>C41*0.8+C46*0.2</f>
        <v>52.424000000000007</v>
      </c>
      <c r="D42" s="27">
        <f t="shared" si="2"/>
        <v>47.705840000000009</v>
      </c>
      <c r="E42" s="28">
        <f t="shared" si="3"/>
        <v>0.38886403651776985</v>
      </c>
      <c r="F42" s="27">
        <f>Calculations!C107</f>
        <v>414.8482359458115</v>
      </c>
      <c r="G42" s="29">
        <f t="shared" si="4"/>
        <v>161.31955957216445</v>
      </c>
    </row>
    <row r="43" spans="1:8">
      <c r="A43" s="26">
        <v>2042</v>
      </c>
      <c r="B43" s="27">
        <f>Calculations!B108</f>
        <v>121.6</v>
      </c>
      <c r="C43" s="32">
        <f>C41*0.6+C46*0.4</f>
        <v>51.118000000000002</v>
      </c>
      <c r="D43" s="27">
        <f t="shared" si="2"/>
        <v>46.517380000000003</v>
      </c>
      <c r="E43" s="28">
        <f t="shared" si="3"/>
        <v>0.3825442434210527</v>
      </c>
      <c r="F43" s="27">
        <f>Calculations!C108</f>
        <v>413.76823594581151</v>
      </c>
      <c r="G43" s="29">
        <f t="shared" si="4"/>
        <v>158.2846567715541</v>
      </c>
    </row>
    <row r="44" spans="1:8">
      <c r="A44" s="30">
        <v>2043</v>
      </c>
      <c r="B44" s="27">
        <f>Calculations!B109</f>
        <v>120.55</v>
      </c>
      <c r="C44" s="32">
        <f>C41*0.4+C46*0.6</f>
        <v>49.811999999999998</v>
      </c>
      <c r="D44" s="27">
        <f t="shared" si="2"/>
        <v>45.328919999999997</v>
      </c>
      <c r="E44" s="28">
        <f t="shared" si="3"/>
        <v>0.37601758606387387</v>
      </c>
      <c r="F44" s="27">
        <f>Calculations!C109</f>
        <v>412.7182359458115</v>
      </c>
      <c r="G44" s="29">
        <f t="shared" si="4"/>
        <v>155.18931480488439</v>
      </c>
    </row>
    <row r="45" spans="1:8">
      <c r="A45" s="26">
        <v>2044</v>
      </c>
      <c r="B45" s="27">
        <f>Calculations!B110</f>
        <v>119.5</v>
      </c>
      <c r="C45" s="32">
        <f>C41*0.2+C46*0.8</f>
        <v>48.506000000000007</v>
      </c>
      <c r="D45" s="27">
        <f t="shared" si="2"/>
        <v>44.140460000000012</v>
      </c>
      <c r="E45" s="28">
        <f t="shared" si="3"/>
        <v>0.36937623430962352</v>
      </c>
      <c r="F45" s="27">
        <f>Calculations!C110</f>
        <v>411.66823594581149</v>
      </c>
      <c r="G45" s="29">
        <f t="shared" si="4"/>
        <v>152.06046277854944</v>
      </c>
    </row>
    <row r="46" spans="1:8">
      <c r="A46" s="26">
        <v>2045</v>
      </c>
      <c r="B46" s="27">
        <f>Calculations!B111</f>
        <v>118.49000000000001</v>
      </c>
      <c r="C46" s="31">
        <f>'Texas Notes'!B15</f>
        <v>47.2</v>
      </c>
      <c r="D46" s="27">
        <f t="shared" si="2"/>
        <v>42.952000000000005</v>
      </c>
      <c r="E46" s="28">
        <f t="shared" si="3"/>
        <v>0.3624947252932737</v>
      </c>
      <c r="F46" s="27">
        <f>Calculations!C111</f>
        <v>410.6582359458115</v>
      </c>
      <c r="G46" s="29">
        <f t="shared" si="4"/>
        <v>148.86144442859731</v>
      </c>
    </row>
    <row r="47" spans="1:8">
      <c r="A47" s="30">
        <v>2046</v>
      </c>
      <c r="B47" s="27">
        <f>Calculations!B112</f>
        <v>117.48</v>
      </c>
      <c r="C47" s="32">
        <f>C46*0.8+C51*0.2</f>
        <v>45.892000000000003</v>
      </c>
      <c r="D47" s="27">
        <f t="shared" si="2"/>
        <v>41.761720000000004</v>
      </c>
      <c r="E47" s="28">
        <f t="shared" si="3"/>
        <v>0.3554794007490637</v>
      </c>
      <c r="F47" s="27">
        <f>Calculations!C112</f>
        <v>409.64823594581151</v>
      </c>
      <c r="G47" s="29">
        <f t="shared" si="4"/>
        <v>145.62150943192813</v>
      </c>
    </row>
    <row r="48" spans="1:8">
      <c r="A48" s="26">
        <v>2047</v>
      </c>
      <c r="B48" s="27">
        <f>Calculations!B113</f>
        <v>116.495</v>
      </c>
      <c r="C48" s="32">
        <f>C46*0.6+C51*0.4</f>
        <v>44.584000000000003</v>
      </c>
      <c r="D48" s="27">
        <f t="shared" si="2"/>
        <v>40.571440000000003</v>
      </c>
      <c r="E48" s="28">
        <f t="shared" si="3"/>
        <v>0.34826765097214474</v>
      </c>
      <c r="F48" s="27">
        <f>Calculations!C113</f>
        <v>408.66323594581149</v>
      </c>
      <c r="G48" s="29">
        <f t="shared" si="4"/>
        <v>142.32418522152312</v>
      </c>
    </row>
    <row r="49" spans="1:7">
      <c r="A49" s="30">
        <v>2048</v>
      </c>
      <c r="B49" s="27">
        <f>Calculations!B114</f>
        <v>115.51</v>
      </c>
      <c r="C49" s="32">
        <f>C46*0.4+C51*0.6</f>
        <v>43.275999999999996</v>
      </c>
      <c r="D49" s="27">
        <f t="shared" si="2"/>
        <v>39.381160000000001</v>
      </c>
      <c r="E49" s="28">
        <f t="shared" si="3"/>
        <v>0.34093290624188383</v>
      </c>
      <c r="F49" s="27">
        <f>Calculations!C114</f>
        <v>407.67823594581148</v>
      </c>
      <c r="G49" s="29">
        <f t="shared" si="4"/>
        <v>138.99092579256993</v>
      </c>
    </row>
    <row r="50" spans="1:7">
      <c r="A50" s="26">
        <v>2049</v>
      </c>
      <c r="B50" s="27">
        <f>Calculations!B115</f>
        <v>114.56</v>
      </c>
      <c r="C50" s="32">
        <f>C46*0.2+C51*0.8</f>
        <v>41.968000000000004</v>
      </c>
      <c r="D50" s="27">
        <f t="shared" si="2"/>
        <v>38.190880000000007</v>
      </c>
      <c r="E50" s="28">
        <f t="shared" si="3"/>
        <v>0.33337011173184361</v>
      </c>
      <c r="F50" s="27">
        <f>Calculations!C115</f>
        <v>406.72823594581149</v>
      </c>
      <c r="G50" s="29">
        <f t="shared" si="4"/>
        <v>135.59103746175083</v>
      </c>
    </row>
    <row r="51" spans="1:7">
      <c r="A51" s="30">
        <v>2050</v>
      </c>
      <c r="B51" s="27">
        <f>Calculations!B116</f>
        <v>113.61</v>
      </c>
      <c r="C51" s="31">
        <f>'Texas Notes'!B16</f>
        <v>40.659999999999997</v>
      </c>
      <c r="D51" s="27">
        <f t="shared" si="2"/>
        <v>37.000599999999999</v>
      </c>
      <c r="E51" s="28">
        <f t="shared" si="3"/>
        <v>0.32568083795440539</v>
      </c>
      <c r="F51" s="27">
        <f>Calculations!C116</f>
        <v>405.7782359458115</v>
      </c>
      <c r="G51" s="29">
        <f t="shared" si="4"/>
        <v>132.1541959064923</v>
      </c>
    </row>
    <row r="52" spans="1:7">
      <c r="A52" s="8"/>
      <c r="B52" s="19"/>
      <c r="C52" s="11"/>
    </row>
    <row r="53" spans="1:7">
      <c r="A53" s="8"/>
      <c r="B53" s="19"/>
      <c r="C53" s="11"/>
    </row>
    <row r="54" spans="1:7">
      <c r="A54" s="8"/>
      <c r="B54" s="19"/>
      <c r="C54" s="11"/>
    </row>
    <row r="55" spans="1:7">
      <c r="A55" s="8"/>
      <c r="B55" s="19"/>
      <c r="C55" s="11"/>
    </row>
    <row r="56" spans="1:7">
      <c r="A56" s="8"/>
      <c r="B56" s="19"/>
      <c r="C56" s="11"/>
    </row>
    <row r="57" spans="1:7">
      <c r="A57" s="8"/>
      <c r="B57" s="19"/>
      <c r="C57" s="11"/>
    </row>
    <row r="58" spans="1:7">
      <c r="A58" s="8"/>
      <c r="B58" s="19"/>
      <c r="C58" s="11"/>
    </row>
    <row r="59" spans="1:7">
      <c r="A59" s="8"/>
      <c r="B59" s="19"/>
      <c r="C59" s="11"/>
    </row>
    <row r="60" spans="1:7">
      <c r="A60" s="8"/>
      <c r="B60" s="19"/>
      <c r="C60" s="11"/>
    </row>
  </sheetData>
  <mergeCells count="2">
    <mergeCell ref="F13:G13"/>
    <mergeCell ref="B13:E1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D24" sqref="D24"/>
    </sheetView>
  </sheetViews>
  <sheetFormatPr defaultColWidth="8.796875" defaultRowHeight="14.25"/>
  <cols>
    <col min="1" max="1" width="15" customWidth="1"/>
    <col min="2" max="2" width="47.6640625" customWidth="1"/>
    <col min="3" max="3" width="15.46484375" customWidth="1"/>
    <col min="4" max="4" width="21.1328125" customWidth="1"/>
    <col min="5" max="5" width="12.33203125" customWidth="1"/>
    <col min="6" max="6" width="39.796875" bestFit="1" customWidth="1"/>
  </cols>
  <sheetData>
    <row r="1" spans="1:6">
      <c r="A1" t="s">
        <v>60</v>
      </c>
    </row>
    <row r="2" spans="1:6" s="15" customFormat="1">
      <c r="A2" s="15" t="s">
        <v>59</v>
      </c>
    </row>
    <row r="3" spans="1:6" s="15" customFormat="1">
      <c r="A3" s="15" t="s">
        <v>53</v>
      </c>
    </row>
    <row r="4" spans="1:6" s="15" customFormat="1">
      <c r="A4" s="15" t="s">
        <v>55</v>
      </c>
    </row>
    <row r="5" spans="1:6" s="15" customFormat="1">
      <c r="A5" s="15" t="s">
        <v>54</v>
      </c>
    </row>
    <row r="6" spans="1:6" s="15" customFormat="1"/>
    <row r="8" spans="1:6" ht="14.65" thickBot="1">
      <c r="A8" s="20" t="s">
        <v>46</v>
      </c>
      <c r="B8" s="35" t="s">
        <v>57</v>
      </c>
      <c r="C8" t="s">
        <v>58</v>
      </c>
      <c r="D8" s="35" t="s">
        <v>62</v>
      </c>
      <c r="E8" t="s">
        <v>61</v>
      </c>
      <c r="F8" s="38" t="s">
        <v>63</v>
      </c>
    </row>
    <row r="9" spans="1:6" ht="14.65" thickTop="1">
      <c r="A9" s="21">
        <v>2018</v>
      </c>
      <c r="B9" s="36">
        <v>204.1</v>
      </c>
      <c r="C9">
        <f>B9*0.91</f>
        <v>185.73099999999999</v>
      </c>
      <c r="D9" s="36">
        <v>667.96899999999994</v>
      </c>
      <c r="E9">
        <f>D9*0.91</f>
        <v>607.85178999999994</v>
      </c>
      <c r="F9" s="39">
        <f>E9+2.4*C9</f>
        <v>1053.60619</v>
      </c>
    </row>
    <row r="10" spans="1:6">
      <c r="A10" s="21">
        <v>2020</v>
      </c>
      <c r="B10" s="36">
        <v>159.75</v>
      </c>
      <c r="C10" s="15">
        <f t="shared" ref="C10:C16" si="0">B10*0.91</f>
        <v>145.3725</v>
      </c>
      <c r="D10" s="36">
        <v>522.81799999999998</v>
      </c>
      <c r="E10" s="15">
        <f t="shared" ref="E10:E16" si="1">D10*0.91</f>
        <v>475.76438000000002</v>
      </c>
      <c r="F10" s="39">
        <f t="shared" ref="F10:F16" si="2">E10+2.4*C10</f>
        <v>824.65838000000008</v>
      </c>
    </row>
    <row r="11" spans="1:6">
      <c r="A11" s="21">
        <v>2025</v>
      </c>
      <c r="B11" s="36">
        <v>98.75</v>
      </c>
      <c r="C11" s="15">
        <f t="shared" si="0"/>
        <v>89.862499999999997</v>
      </c>
      <c r="D11" s="36">
        <v>323.197</v>
      </c>
      <c r="E11" s="15">
        <f t="shared" si="1"/>
        <v>294.10927000000004</v>
      </c>
      <c r="F11" s="39">
        <f t="shared" si="2"/>
        <v>509.77927</v>
      </c>
    </row>
    <row r="12" spans="1:6">
      <c r="A12" s="21">
        <v>2030</v>
      </c>
      <c r="B12" s="36">
        <v>66.8</v>
      </c>
      <c r="C12" s="15">
        <f t="shared" si="0"/>
        <v>60.787999999999997</v>
      </c>
      <c r="D12" s="36">
        <v>218.63300000000001</v>
      </c>
      <c r="E12" s="15">
        <f t="shared" si="1"/>
        <v>198.95603000000003</v>
      </c>
      <c r="F12" s="39">
        <f t="shared" si="2"/>
        <v>344.84723000000002</v>
      </c>
    </row>
    <row r="13" spans="1:6">
      <c r="A13" s="21">
        <v>2035</v>
      </c>
      <c r="B13" s="36">
        <v>60.27</v>
      </c>
      <c r="C13" s="15">
        <f t="shared" si="0"/>
        <v>54.845700000000008</v>
      </c>
      <c r="D13" s="36">
        <v>197.245</v>
      </c>
      <c r="E13" s="15">
        <f t="shared" si="1"/>
        <v>179.49295000000001</v>
      </c>
      <c r="F13" s="39">
        <f t="shared" si="2"/>
        <v>311.12263000000002</v>
      </c>
    </row>
    <row r="14" spans="1:6">
      <c r="A14" s="21">
        <v>2040</v>
      </c>
      <c r="B14" s="36">
        <v>53.73</v>
      </c>
      <c r="C14" s="15">
        <f t="shared" si="0"/>
        <v>48.894300000000001</v>
      </c>
      <c r="D14" s="36">
        <v>175.857</v>
      </c>
      <c r="E14" s="15">
        <f t="shared" si="1"/>
        <v>160.02987000000002</v>
      </c>
      <c r="F14" s="39">
        <f t="shared" si="2"/>
        <v>277.37619000000001</v>
      </c>
    </row>
    <row r="15" spans="1:6">
      <c r="A15" s="21">
        <v>2045</v>
      </c>
      <c r="B15" s="36">
        <v>47.2</v>
      </c>
      <c r="C15" s="15">
        <f t="shared" si="0"/>
        <v>42.952000000000005</v>
      </c>
      <c r="D15" s="36">
        <v>154.46899999999999</v>
      </c>
      <c r="E15" s="15">
        <f t="shared" si="1"/>
        <v>140.56679</v>
      </c>
      <c r="F15" s="39">
        <f t="shared" si="2"/>
        <v>243.65159</v>
      </c>
    </row>
    <row r="16" spans="1:6">
      <c r="A16" s="21">
        <v>2050</v>
      </c>
      <c r="B16" s="36">
        <v>40.659999999999997</v>
      </c>
      <c r="C16" s="15">
        <f t="shared" si="0"/>
        <v>37.000599999999999</v>
      </c>
      <c r="D16" s="37">
        <v>133.08099999999999</v>
      </c>
      <c r="E16" s="15">
        <f t="shared" si="1"/>
        <v>121.10370999999999</v>
      </c>
      <c r="F16" s="39">
        <f t="shared" si="2"/>
        <v>209.90514999999999</v>
      </c>
    </row>
    <row r="22" spans="1:3" s="15" customFormat="1"/>
    <row r="23" spans="1:3" s="15" customFormat="1">
      <c r="C23" s="6"/>
    </row>
    <row r="24" spans="1:3" s="15" customFormat="1">
      <c r="C24" s="6"/>
    </row>
    <row r="32" spans="1:3">
      <c r="A32" s="20"/>
      <c r="B32" s="20"/>
    </row>
    <row r="33" spans="1:4">
      <c r="A33" s="21"/>
      <c r="B33" s="22"/>
      <c r="C33" s="9"/>
    </row>
    <row r="34" spans="1:4">
      <c r="A34" s="21"/>
      <c r="B34" s="22"/>
      <c r="C34" s="9"/>
    </row>
    <row r="35" spans="1:4">
      <c r="A35" s="21"/>
      <c r="B35" s="22"/>
      <c r="C35" s="9"/>
    </row>
    <row r="36" spans="1:4">
      <c r="A36" s="21"/>
      <c r="B36" s="22"/>
      <c r="C36" s="9"/>
    </row>
    <row r="37" spans="1:4">
      <c r="A37" s="21"/>
      <c r="B37" s="22"/>
      <c r="C37" s="9"/>
    </row>
    <row r="38" spans="1:4">
      <c r="A38" s="21"/>
      <c r="B38" s="22"/>
      <c r="C38" s="9"/>
    </row>
    <row r="39" spans="1:4">
      <c r="A39" s="21"/>
      <c r="B39" s="22"/>
      <c r="C39" s="9"/>
    </row>
    <row r="40" spans="1:4">
      <c r="A40" s="21"/>
      <c r="B40" s="22"/>
      <c r="C40" s="9"/>
    </row>
    <row r="42" spans="1:4">
      <c r="A42" s="34"/>
      <c r="B42" s="34"/>
      <c r="C42" s="34"/>
      <c r="D42" s="34"/>
    </row>
    <row r="43" spans="1:4">
      <c r="A43" s="34"/>
      <c r="B43" s="34"/>
      <c r="C43" s="34"/>
      <c r="D43" s="34"/>
    </row>
    <row r="44" spans="1:4">
      <c r="A44" s="34"/>
      <c r="B44" s="34"/>
      <c r="C44" s="34"/>
      <c r="D44" s="34"/>
    </row>
    <row r="45" spans="1:4">
      <c r="A45" s="34"/>
      <c r="B45" s="34"/>
      <c r="C45" s="34"/>
      <c r="D45" s="34"/>
    </row>
    <row r="46" spans="1:4">
      <c r="A46" s="34"/>
      <c r="B46" s="34"/>
      <c r="C46" s="34"/>
      <c r="D46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99"/>
  </sheetPr>
  <dimension ref="A1:F38"/>
  <sheetViews>
    <sheetView topLeftCell="A2" workbookViewId="0">
      <selection activeCell="H10" sqref="H10"/>
    </sheetView>
  </sheetViews>
  <sheetFormatPr defaultColWidth="8.796875" defaultRowHeight="14.25"/>
  <cols>
    <col min="1" max="1" width="11.1328125" customWidth="1"/>
    <col min="2" max="2" width="21.46484375" customWidth="1"/>
  </cols>
  <sheetData>
    <row r="1" spans="1:6">
      <c r="A1" s="13" t="s">
        <v>1</v>
      </c>
      <c r="B1" s="13" t="s">
        <v>31</v>
      </c>
    </row>
    <row r="2" spans="1:6">
      <c r="A2">
        <f>Calculations!A80</f>
        <v>2014</v>
      </c>
      <c r="B2" s="9">
        <f>(B3-B4)+B3</f>
        <v>1511501.8099999991</v>
      </c>
    </row>
    <row r="3" spans="1:6">
      <c r="A3">
        <f>Calculations!A81</f>
        <v>2015</v>
      </c>
      <c r="B3" s="9">
        <f t="shared" ref="B3:B4" si="0">(B4-B5)+B4</f>
        <v>1397027.9049999993</v>
      </c>
      <c r="C3" s="15"/>
      <c r="D3" s="40"/>
      <c r="E3" s="40"/>
      <c r="F3" s="40"/>
    </row>
    <row r="4" spans="1:6">
      <c r="A4">
        <f>Calculations!A82</f>
        <v>2016</v>
      </c>
      <c r="B4" s="9">
        <f t="shared" si="0"/>
        <v>1282553.9999999995</v>
      </c>
      <c r="C4" s="15"/>
      <c r="D4" s="40"/>
      <c r="E4" s="41"/>
      <c r="F4" s="40"/>
    </row>
    <row r="5" spans="1:6">
      <c r="A5">
        <f>Calculations!A83</f>
        <v>2017</v>
      </c>
      <c r="B5" s="9">
        <f>(B6-B7)+B6</f>
        <v>1168080.0949999997</v>
      </c>
      <c r="C5" s="15"/>
      <c r="D5" s="40"/>
      <c r="E5" s="40"/>
      <c r="F5" s="40"/>
    </row>
    <row r="6" spans="1:6">
      <c r="A6">
        <f>Calculations!A84</f>
        <v>2018</v>
      </c>
      <c r="B6" s="9">
        <f>'Texas Notes'!F9*1000</f>
        <v>1053606.19</v>
      </c>
      <c r="C6" s="15"/>
      <c r="D6" s="42"/>
      <c r="E6" s="43"/>
      <c r="F6" s="40"/>
    </row>
    <row r="7" spans="1:6">
      <c r="A7">
        <f>Calculations!A85</f>
        <v>2019</v>
      </c>
      <c r="B7" s="9">
        <f>AVERAGE(B6,B8)</f>
        <v>939132.28500000003</v>
      </c>
      <c r="C7" s="15"/>
      <c r="D7" s="42"/>
      <c r="E7" s="43"/>
      <c r="F7" s="40"/>
    </row>
    <row r="8" spans="1:6">
      <c r="A8">
        <f>Calculations!A86</f>
        <v>2020</v>
      </c>
      <c r="B8" s="9">
        <f>'Texas Notes'!F10*1000</f>
        <v>824658.38000000012</v>
      </c>
      <c r="C8" s="15"/>
      <c r="D8" s="42"/>
      <c r="E8" s="43"/>
      <c r="F8" s="40"/>
    </row>
    <row r="9" spans="1:6">
      <c r="A9">
        <f>Calculations!A87</f>
        <v>2021</v>
      </c>
      <c r="B9" s="9">
        <f>B8*0.8+B13*0.2</f>
        <v>761682.55800000019</v>
      </c>
      <c r="C9" s="15"/>
      <c r="D9" s="42"/>
      <c r="E9" s="43"/>
      <c r="F9" s="40"/>
    </row>
    <row r="10" spans="1:6">
      <c r="A10">
        <f>Calculations!A88</f>
        <v>2022</v>
      </c>
      <c r="B10" s="9">
        <f>B8*0.6+B13*0.4</f>
        <v>698706.73600000003</v>
      </c>
      <c r="C10" s="15"/>
      <c r="D10" s="42"/>
      <c r="E10" s="43"/>
      <c r="F10" s="40"/>
    </row>
    <row r="11" spans="1:6">
      <c r="A11">
        <f>Calculations!A89</f>
        <v>2023</v>
      </c>
      <c r="B11" s="9">
        <f>B8*0.4+B13*0.6</f>
        <v>635730.91400000011</v>
      </c>
      <c r="C11" s="15"/>
      <c r="D11" s="42"/>
      <c r="E11" s="43"/>
      <c r="F11" s="40"/>
    </row>
    <row r="12" spans="1:6">
      <c r="A12">
        <f>Calculations!A90</f>
        <v>2024</v>
      </c>
      <c r="B12" s="9">
        <f>B8*0.2+B13*0.8</f>
        <v>572755.09200000006</v>
      </c>
      <c r="C12" s="15"/>
      <c r="D12" s="42"/>
      <c r="E12" s="43"/>
      <c r="F12" s="40"/>
    </row>
    <row r="13" spans="1:6">
      <c r="A13">
        <f>Calculations!A91</f>
        <v>2025</v>
      </c>
      <c r="B13" s="9">
        <f>'Texas Notes'!F11*1000</f>
        <v>509779.27</v>
      </c>
      <c r="C13" s="15"/>
      <c r="D13" s="42"/>
      <c r="E13" s="43"/>
      <c r="F13" s="40"/>
    </row>
    <row r="14" spans="1:6">
      <c r="A14">
        <f>Calculations!A92</f>
        <v>2026</v>
      </c>
      <c r="B14" s="9">
        <f>B13*0.8+B18*0.2</f>
        <v>476792.86200000002</v>
      </c>
      <c r="C14" s="15"/>
      <c r="D14" s="40"/>
      <c r="E14" s="40"/>
      <c r="F14" s="40"/>
    </row>
    <row r="15" spans="1:6">
      <c r="A15">
        <f>Calculations!A93</f>
        <v>2027</v>
      </c>
      <c r="B15" s="9">
        <f>B13*0.6+B18*0.4</f>
        <v>443806.45400000003</v>
      </c>
      <c r="C15" s="15"/>
      <c r="D15" s="40"/>
      <c r="E15" s="40"/>
      <c r="F15" s="40"/>
    </row>
    <row r="16" spans="1:6">
      <c r="A16">
        <f>Calculations!A94</f>
        <v>2028</v>
      </c>
      <c r="B16" s="9">
        <f>B13*0.4+B18*0.6</f>
        <v>410820.04600000003</v>
      </c>
      <c r="C16" s="15"/>
      <c r="D16" s="40"/>
      <c r="E16" s="40"/>
      <c r="F16" s="40"/>
    </row>
    <row r="17" spans="1:6">
      <c r="A17">
        <f>Calculations!A95</f>
        <v>2029</v>
      </c>
      <c r="B17" s="9">
        <f>B13*0.2+B18*0.8</f>
        <v>377833.63800000004</v>
      </c>
      <c r="C17" s="15"/>
      <c r="D17" s="40"/>
      <c r="E17" s="40"/>
      <c r="F17" s="40"/>
    </row>
    <row r="18" spans="1:6">
      <c r="A18">
        <f>Calculations!A96</f>
        <v>2030</v>
      </c>
      <c r="B18" s="9">
        <f>'Texas Notes'!F12*1000</f>
        <v>344847.23000000004</v>
      </c>
      <c r="C18" s="15"/>
    </row>
    <row r="19" spans="1:6">
      <c r="A19" s="15">
        <f>Calculations!A97</f>
        <v>2031</v>
      </c>
      <c r="B19" s="9">
        <f>B18*0.8+B23*0.2</f>
        <v>338102.31000000006</v>
      </c>
      <c r="C19" s="15"/>
    </row>
    <row r="20" spans="1:6">
      <c r="A20" s="15">
        <f>Calculations!A98</f>
        <v>2032</v>
      </c>
      <c r="B20" s="9">
        <f>B18*0.6+B23*0.4</f>
        <v>331357.39</v>
      </c>
      <c r="C20" s="15"/>
    </row>
    <row r="21" spans="1:6">
      <c r="A21" s="15">
        <f>Calculations!A99</f>
        <v>2033</v>
      </c>
      <c r="B21" s="9">
        <f>B18*0.4+B23*0.6</f>
        <v>324612.47000000003</v>
      </c>
      <c r="C21" s="15"/>
    </row>
    <row r="22" spans="1:6">
      <c r="A22" s="15">
        <f>Calculations!A100</f>
        <v>2034</v>
      </c>
      <c r="B22" s="9">
        <f>B18*0.2+B23*0.8</f>
        <v>317867.55000000005</v>
      </c>
      <c r="C22" s="15"/>
    </row>
    <row r="23" spans="1:6">
      <c r="A23" s="15">
        <f>Calculations!A101</f>
        <v>2035</v>
      </c>
      <c r="B23" s="9">
        <f>'Texas Notes'!F13*1000</f>
        <v>311122.63</v>
      </c>
      <c r="C23" s="15"/>
    </row>
    <row r="24" spans="1:6">
      <c r="A24" s="15">
        <f>Calculations!A102</f>
        <v>2036</v>
      </c>
      <c r="B24" s="9">
        <f>B23*0.8+B28*0.2</f>
        <v>304373.342</v>
      </c>
      <c r="C24" s="15"/>
    </row>
    <row r="25" spans="1:6">
      <c r="A25" s="15">
        <f>Calculations!A103</f>
        <v>2037</v>
      </c>
      <c r="B25" s="9">
        <f>B23*0.6+B28*0.4</f>
        <v>297624.054</v>
      </c>
      <c r="C25" s="15"/>
    </row>
    <row r="26" spans="1:6">
      <c r="A26" s="15">
        <f>Calculations!A104</f>
        <v>2038</v>
      </c>
      <c r="B26" s="9">
        <f>B23*0.4+B28*0.6</f>
        <v>290874.766</v>
      </c>
      <c r="C26" s="15"/>
    </row>
    <row r="27" spans="1:6">
      <c r="A27" s="15">
        <f>Calculations!A105</f>
        <v>2039</v>
      </c>
      <c r="B27" s="9">
        <f>B23*0.2+B28*0.8</f>
        <v>284125.478</v>
      </c>
      <c r="C27" s="15"/>
    </row>
    <row r="28" spans="1:6">
      <c r="A28" s="15">
        <f>Calculations!A106</f>
        <v>2040</v>
      </c>
      <c r="B28" s="9">
        <f>'Texas Notes'!F14*1000</f>
        <v>277376.19</v>
      </c>
      <c r="C28" s="15"/>
    </row>
    <row r="29" spans="1:6">
      <c r="A29" s="15">
        <f>Calculations!A107</f>
        <v>2041</v>
      </c>
      <c r="B29" s="9">
        <f>B28*0.8+B33*0.2</f>
        <v>270631.27</v>
      </c>
      <c r="C29" s="15"/>
    </row>
    <row r="30" spans="1:6">
      <c r="A30" s="15">
        <f>Calculations!A108</f>
        <v>2042</v>
      </c>
      <c r="B30" s="9">
        <f>B28*0.6+B33*0.4</f>
        <v>263886.34999999998</v>
      </c>
      <c r="C30" s="15"/>
    </row>
    <row r="31" spans="1:6">
      <c r="A31" s="15">
        <f>Calculations!A109</f>
        <v>2043</v>
      </c>
      <c r="B31" s="9">
        <f>B28*0.4+B33*0.6</f>
        <v>257141.43</v>
      </c>
      <c r="C31" s="15"/>
    </row>
    <row r="32" spans="1:6">
      <c r="A32" s="15">
        <f>Calculations!A110</f>
        <v>2044</v>
      </c>
      <c r="B32" s="9">
        <f>B28*0.2+B33*0.8</f>
        <v>250396.51</v>
      </c>
      <c r="C32" s="15"/>
    </row>
    <row r="33" spans="1:3">
      <c r="A33" s="15">
        <f>Calculations!A111</f>
        <v>2045</v>
      </c>
      <c r="B33" s="9">
        <f>'Texas Notes'!F15*1000</f>
        <v>243651.59</v>
      </c>
      <c r="C33" s="15"/>
    </row>
    <row r="34" spans="1:3">
      <c r="A34" s="15">
        <f>Calculations!A112</f>
        <v>2046</v>
      </c>
      <c r="B34" s="9">
        <f>B33*0.8+B38*0.2</f>
        <v>236902.302</v>
      </c>
      <c r="C34" s="15"/>
    </row>
    <row r="35" spans="1:3">
      <c r="A35" s="15">
        <f>Calculations!A113</f>
        <v>2047</v>
      </c>
      <c r="B35" s="9">
        <f>B33*0.6+B38*0.4</f>
        <v>230153.014</v>
      </c>
      <c r="C35" s="15"/>
    </row>
    <row r="36" spans="1:3">
      <c r="A36" s="15">
        <f>Calculations!A114</f>
        <v>2048</v>
      </c>
      <c r="B36" s="9">
        <f>B33*0.4+B38*0.6</f>
        <v>223403.726</v>
      </c>
      <c r="C36" s="15"/>
    </row>
    <row r="37" spans="1:3">
      <c r="A37" s="15">
        <f>Calculations!A115</f>
        <v>2049</v>
      </c>
      <c r="B37" s="9">
        <f>B33*0.2+B38*0.8</f>
        <v>216654.43799999999</v>
      </c>
      <c r="C37" s="15"/>
    </row>
    <row r="38" spans="1:3">
      <c r="A38" s="15">
        <f>Calculations!A116</f>
        <v>2050</v>
      </c>
      <c r="B38" s="9">
        <f>'Texas Notes'!F16*1000</f>
        <v>209905.15</v>
      </c>
      <c r="C3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Calculations</vt:lpstr>
      <vt:lpstr>Texas Calculations</vt:lpstr>
      <vt:lpstr>Texas Notes</vt:lpstr>
      <vt:lpstr>BCpUC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2015-05-01T22:00:45Z</dcterms:created>
  <dcterms:modified xsi:type="dcterms:W3CDTF">2020-10-23T17:36:13Z</dcterms:modified>
</cp:coreProperties>
</file>